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99" activeTab="0"/>
  </bookViews>
  <sheets>
    <sheet name="Чемп 50 см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state="hidden" r:id="rId8"/>
    <sheet name=" Хобби" sheetId="9" r:id="rId9"/>
  </sheets>
  <definedNames>
    <definedName name="_xlnm.Print_Area" localSheetId="1">'Чемп 50 см'!$A$1:$IO$28</definedName>
    <definedName name="_xlnm.Print_Area" localSheetId="0">'Чемп 50 см pw'!$A$1:$IO$27</definedName>
    <definedName name="_xlnm.Print_Area" localSheetId="3">'Чемп 85 см'!#REF!</definedName>
  </definedNames>
  <calcPr fullCalcOnLoad="1"/>
</workbook>
</file>

<file path=xl/sharedStrings.xml><?xml version="1.0" encoding="utf-8"?>
<sst xmlns="http://schemas.openxmlformats.org/spreadsheetml/2006/main" count="793" uniqueCount="212">
  <si>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</si>
  <si>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</si>
  <si>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</si>
  <si>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</si>
  <si>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</si>
  <si>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</si>
  <si>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</si>
  <si>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</si>
  <si>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</si>
  <si>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</si>
  <si>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</si>
  <si>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</si>
  <si>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</si>
  <si>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</si>
  <si>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</si>
  <si>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</si>
  <si>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</si>
  <si>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</si>
  <si>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</si>
  <si>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</si>
  <si>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</si>
  <si>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</si>
  <si>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</si>
  <si>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</si>
  <si>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</si>
  <si>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</si>
  <si>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</si>
  <si>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</si>
  <si>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</si>
  <si>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</si>
  <si>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</si>
  <si>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</si>
  <si>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</si>
  <si>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</si>
  <si>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</si>
  <si>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</si>
  <si>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</si>
  <si>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</si>
  <si>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</si>
  <si>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</si>
  <si>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</si>
  <si>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</si>
  <si>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</si>
  <si>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</si>
  <si>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</si>
  <si>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</si>
  <si>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Башмаков Денис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</si>
  <si>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</si>
  <si>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</si>
  <si>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</si>
  <si>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</si>
  <si>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</si>
  <si>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</si>
  <si>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</si>
  <si>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</si>
  <si>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1-ю</t>
  </si>
  <si>
    <t>Брухтей Александр</t>
  </si>
  <si>
    <t>п. Кировский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</si>
  <si>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</si>
  <si>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с.В.Надеждинское</t>
  </si>
  <si>
    <t>Макаров Михаил</t>
  </si>
  <si>
    <t>г.Уссурийск</t>
  </si>
  <si>
    <t>г.Артем</t>
  </si>
  <si>
    <t>Черемных Иван</t>
  </si>
  <si>
    <t>г.Лесозаводск</t>
  </si>
  <si>
    <t>Брухтей Андрей</t>
  </si>
  <si>
    <t>п.Кировский</t>
  </si>
  <si>
    <t>Ревун Александр</t>
  </si>
  <si>
    <t>2-ю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</si>
  <si>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</si>
  <si>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н/ф</t>
  </si>
  <si>
    <t>н/с</t>
  </si>
  <si>
    <t>Ерохин Денис</t>
  </si>
  <si>
    <t>Завертан Аристарх</t>
  </si>
  <si>
    <t>г.Находка</t>
  </si>
  <si>
    <t>Лесозаводск</t>
  </si>
  <si>
    <t>Хабаровск</t>
  </si>
  <si>
    <t>Косарев Алексей</t>
  </si>
  <si>
    <t>Пономарев Виктор</t>
  </si>
  <si>
    <t>Зиновьев Антон</t>
  </si>
  <si>
    <t>Ивлев Андрей</t>
  </si>
  <si>
    <t>Момонт Владимир</t>
  </si>
  <si>
    <t>Заикин Константин</t>
  </si>
  <si>
    <t>Ерохин Дмитрий</t>
  </si>
  <si>
    <t>Попов Андрей</t>
  </si>
  <si>
    <t>Бардаш Александр</t>
  </si>
  <si>
    <t>г. Спасск</t>
  </si>
  <si>
    <t>Черный Дмитрий</t>
  </si>
  <si>
    <t>п. Новый</t>
  </si>
  <si>
    <t>Шаповаленко Сергей</t>
  </si>
  <si>
    <t>г. Дальнегорск</t>
  </si>
  <si>
    <t>Швецов Алексей</t>
  </si>
  <si>
    <t>Зайцев Степан</t>
  </si>
  <si>
    <t>Бондарь Олег</t>
  </si>
  <si>
    <t>Гринцевич Алексей</t>
  </si>
  <si>
    <t>п.Терней</t>
  </si>
  <si>
    <t>Заика Александр</t>
  </si>
  <si>
    <t>Миронов Игорь</t>
  </si>
  <si>
    <t>п. Кавалерово</t>
  </si>
  <si>
    <t>Юхнов Сергей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</si>
  <si>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</si>
  <si>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Матяш Александр</t>
  </si>
  <si>
    <t>Быков Дмитрий</t>
  </si>
  <si>
    <t>Мостовой Артем</t>
  </si>
  <si>
    <t>Немцов Анатолий</t>
  </si>
  <si>
    <t>Тимченко Михаил</t>
  </si>
  <si>
    <t>Дальнегорск</t>
  </si>
  <si>
    <t>Ю-Сахалинск</t>
  </si>
  <si>
    <t>Шелестюк Максим</t>
  </si>
  <si>
    <t>Симаков Евгений</t>
  </si>
  <si>
    <t>Кирик Дмитрий</t>
  </si>
  <si>
    <t>г.Дальнегорск</t>
  </si>
  <si>
    <t>Свирский Иван</t>
  </si>
  <si>
    <t>Верин Владимир</t>
  </si>
  <si>
    <t>Султанов Дмитрий</t>
  </si>
  <si>
    <t>Макаров Александр</t>
  </si>
  <si>
    <t>Тимченко Артем</t>
  </si>
  <si>
    <t>Швецов Егор</t>
  </si>
  <si>
    <t>п.Ливадия</t>
  </si>
  <si>
    <t>Челышков Давид</t>
  </si>
  <si>
    <t>Кондратьев Никита</t>
  </si>
  <si>
    <t>Киселев Александр</t>
  </si>
  <si>
    <t>Бурковский Александр</t>
  </si>
  <si>
    <t>п.Заводской</t>
  </si>
  <si>
    <t>Гордеев Сергей</t>
  </si>
  <si>
    <t>Синельников Иван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</si>
  <si>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</si>
  <si>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</si>
  <si>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</si>
  <si>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</si>
  <si>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</si>
  <si>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</si>
  <si>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</si>
  <si>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</si>
  <si>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Парубенко Егор</t>
  </si>
  <si>
    <t>Пронин Сергей</t>
  </si>
  <si>
    <t>Демчишин Валентин</t>
  </si>
  <si>
    <t>Степочкин Дмитрий</t>
  </si>
  <si>
    <t>Демчишин Данила</t>
  </si>
  <si>
    <t>Кондратьев Даниил</t>
  </si>
  <si>
    <t>Карайченцев Лев</t>
  </si>
  <si>
    <t>Коваленко Игнат</t>
  </si>
  <si>
    <t>Петров Владислав</t>
  </si>
  <si>
    <t>Пятницкий Богдан</t>
  </si>
  <si>
    <t>г. Артем</t>
  </si>
  <si>
    <t>г. Хабаровск</t>
  </si>
  <si>
    <t>Бочкарев Иван</t>
  </si>
  <si>
    <t>п. Хороль</t>
  </si>
  <si>
    <t>Орехов Феликс</t>
  </si>
  <si>
    <t>с. Покровка</t>
  </si>
  <si>
    <t>Мысливец Дитрий</t>
  </si>
  <si>
    <t>Изюмцев Петр</t>
  </si>
  <si>
    <t>г. Спасск-Д.</t>
  </si>
  <si>
    <t>Лапко Евгений</t>
  </si>
  <si>
    <t>п. Ливадия</t>
  </si>
  <si>
    <t>Перелыгин Константин</t>
  </si>
  <si>
    <t>Таран Александр</t>
  </si>
  <si>
    <t>Хомед Денис</t>
  </si>
  <si>
    <t>Дробязин Максим</t>
  </si>
  <si>
    <t>п. Новошахтинск</t>
  </si>
  <si>
    <t>Сабуров Иван</t>
  </si>
  <si>
    <t>г. Арсеньев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</si>
  <si>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(ветераны)</t>
    </r>
  </si>
  <si>
    <t>п. Покровка</t>
  </si>
  <si>
    <t>Киселев Роман</t>
  </si>
  <si>
    <t>Демчишин Павел</t>
  </si>
  <si>
    <t xml:space="preserve"> Чемпионат Приморского края по мотоциклетному спорту/мотокросс/ 2019 года.  3-й этап.                                                                                                                             </t>
  </si>
  <si>
    <t>г.Большой Камень (Приморский край)                                                                           27- 28 июля 2019 года.</t>
  </si>
  <si>
    <t xml:space="preserve">Полиданов Дмитрий </t>
  </si>
  <si>
    <t>Чернышев Арсений</t>
  </si>
  <si>
    <t>г. Партизанск</t>
  </si>
  <si>
    <t>Кадачигова Алиса</t>
  </si>
  <si>
    <t>Мешков Сергей</t>
  </si>
  <si>
    <t>Дышлюк Вадим</t>
  </si>
  <si>
    <t>Дедусь Иван</t>
  </si>
  <si>
    <t>Лукашов Артемий</t>
  </si>
  <si>
    <t>Лукашов Никита</t>
  </si>
  <si>
    <t>Краснокуцкий Василий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</si>
  <si>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(хобби)</t>
    </r>
  </si>
  <si>
    <t>Моняков Иван</t>
  </si>
  <si>
    <t>Буйвол Даниил</t>
  </si>
  <si>
    <t>PW</t>
  </si>
  <si>
    <t>Манышев Иван</t>
  </si>
  <si>
    <t>Миронов Александр</t>
  </si>
  <si>
    <t>Беляков Дмитрий</t>
  </si>
  <si>
    <t>Павлов Никита</t>
  </si>
  <si>
    <t>Васев Артем</t>
  </si>
  <si>
    <t xml:space="preserve">Таран Даниил </t>
  </si>
  <si>
    <t>Степанов Степан</t>
  </si>
  <si>
    <t>Буйвол Евгений</t>
  </si>
  <si>
    <t>Шевченко Глеб</t>
  </si>
  <si>
    <t>Манько Максим</t>
  </si>
  <si>
    <t>Иванов Александр</t>
  </si>
  <si>
    <t>Новиков Евгений</t>
  </si>
  <si>
    <t>Назаров Андрей</t>
  </si>
  <si>
    <t>Сичкаренко Валерий</t>
  </si>
  <si>
    <t>Прокопьев Максим</t>
  </si>
  <si>
    <t>Соляник Владислав</t>
  </si>
  <si>
    <t>Дробязин Макисм</t>
  </si>
  <si>
    <t>п. Новошахтинский</t>
  </si>
  <si>
    <t>3-ю</t>
  </si>
  <si>
    <t xml:space="preserve"> Кубок Приморского края по мотоциклетному спорту/мотокросс/ 2019 года.  3-й этап.                                                                                                                             </t>
  </si>
  <si>
    <t>Семин Семен</t>
  </si>
  <si>
    <t>Гуськов Савелий</t>
  </si>
  <si>
    <t>Бекерев Илья</t>
  </si>
  <si>
    <t>Столяров Игорь</t>
  </si>
  <si>
    <t>Шарапов Андрей</t>
  </si>
  <si>
    <t>г. Б.Камень</t>
  </si>
  <si>
    <t>Литвиненко Денис</t>
  </si>
  <si>
    <t>Колесов Виталий</t>
  </si>
  <si>
    <t>ВЕТЕРАНЫ</t>
  </si>
  <si>
    <t>г.Артем (Приморский край)                                                                        19-20 октября 2019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</si>
</sst>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left" vertical="center"/>
      <protection locked="0"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/>
    </xf>
    <xf numFmtId="0" fontId="59" fillId="34" borderId="11" xfId="0" applyFont="1" applyFill="1" applyBorder="1" applyAlignment="1" applyProtection="1">
      <alignment horizontal="center" vertical="center"/>
      <protection locked="0"/>
    </xf>
    <xf numFmtId="0" fontId="59" fillId="35" borderId="11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left" vertical="center"/>
      <protection locked="0"/>
    </xf>
    <xf numFmtId="0" fontId="59" fillId="0" borderId="11" xfId="0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18" fillId="35" borderId="22" xfId="0" applyFont="1" applyFill="1" applyBorder="1" applyAlignment="1" applyProtection="1">
      <alignment horizontal="center" vertic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4" borderId="24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34" borderId="28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7</xdr:col>
      <xdr:colOff>161925</xdr:colOff>
      <xdr:row>0</xdr:row>
      <xdr:rowOff>1076325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</xdr:row>
      <xdr:rowOff>47625</xdr:rowOff>
    </xdr:from>
    <xdr:to>
      <xdr:col>12</xdr:col>
      <xdr:colOff>0</xdr:colOff>
      <xdr:row>26</xdr:row>
      <xdr:rowOff>47625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057900"/>
          <a:ext cx="7591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1543050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29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829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153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153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1485900</xdr:colOff>
      <xdr:row>1</xdr:row>
      <xdr:rowOff>152400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28575</xdr:rowOff>
    </xdr:from>
    <xdr:to>
      <xdr:col>3</xdr:col>
      <xdr:colOff>142875</xdr:colOff>
      <xdr:row>2</xdr:row>
      <xdr:rowOff>76200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57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133350</xdr:rowOff>
    </xdr:from>
    <xdr:to>
      <xdr:col>11</xdr:col>
      <xdr:colOff>0</xdr:colOff>
      <xdr:row>25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95312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197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197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197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6197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6291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6291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6291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47625</xdr:colOff>
      <xdr:row>17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267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6291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0</xdr:row>
      <xdr:rowOff>0</xdr:rowOff>
    </xdr:from>
    <xdr:to>
      <xdr:col>3</xdr:col>
      <xdr:colOff>190500</xdr:colOff>
      <xdr:row>2</xdr:row>
      <xdr:rowOff>104775</xdr:rowOff>
    </xdr:to>
    <xdr:pic>
      <xdr:nvPicPr>
        <xdr:cNvPr id="1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542925</xdr:colOff>
      <xdr:row>0</xdr:row>
      <xdr:rowOff>0</xdr:rowOff>
    </xdr:from>
    <xdr:to>
      <xdr:col>2</xdr:col>
      <xdr:colOff>1752600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1276350</xdr:colOff>
      <xdr:row>1</xdr:row>
      <xdr:rowOff>200025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419100</xdr:colOff>
      <xdr:row>27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722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27</xdr:row>
      <xdr:rowOff>0</xdr:rowOff>
    </xdr:from>
    <xdr:to>
      <xdr:col>12</xdr:col>
      <xdr:colOff>323850</xdr:colOff>
      <xdr:row>27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37222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1162050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61925"/>
          <a:ext cx="1314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0</xdr:rowOff>
    </xdr:from>
    <xdr:to>
      <xdr:col>2</xdr:col>
      <xdr:colOff>962025</xdr:colOff>
      <xdr:row>0</xdr:row>
      <xdr:rowOff>1104900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0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12</xdr:col>
      <xdr:colOff>419100</xdr:colOff>
      <xdr:row>18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18</xdr:row>
      <xdr:rowOff>0</xdr:rowOff>
    </xdr:from>
    <xdr:to>
      <xdr:col>12</xdr:col>
      <xdr:colOff>323850</xdr:colOff>
      <xdr:row>18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5720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419100</xdr:colOff>
      <xdr:row>18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18</xdr:row>
      <xdr:rowOff>0</xdr:rowOff>
    </xdr:from>
    <xdr:to>
      <xdr:col>12</xdr:col>
      <xdr:colOff>323850</xdr:colOff>
      <xdr:row>18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5720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419100</xdr:colOff>
      <xdr:row>18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18</xdr:row>
      <xdr:rowOff>0</xdr:rowOff>
    </xdr:from>
    <xdr:to>
      <xdr:col>12</xdr:col>
      <xdr:colOff>323850</xdr:colOff>
      <xdr:row>18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5720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419100</xdr:colOff>
      <xdr:row>18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18</xdr:row>
      <xdr:rowOff>0</xdr:rowOff>
    </xdr:from>
    <xdr:to>
      <xdr:col>12</xdr:col>
      <xdr:colOff>323850</xdr:colOff>
      <xdr:row>18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5720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419100</xdr:colOff>
      <xdr:row>18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18</xdr:row>
      <xdr:rowOff>0</xdr:rowOff>
    </xdr:from>
    <xdr:to>
      <xdr:col>12</xdr:col>
      <xdr:colOff>323850</xdr:colOff>
      <xdr:row>18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45720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0</xdr:rowOff>
    </xdr:from>
    <xdr:to>
      <xdr:col>2</xdr:col>
      <xdr:colOff>1162050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4"/>
  <sheetViews>
    <sheetView tabSelected="1" view="pageLayout" zoomScale="140" zoomScalePageLayoutView="140" workbookViewId="0" topLeftCell="A1">
      <selection activeCell="A4" sqref="A4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71" t="s">
        <v>201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2" t="s">
        <v>211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100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4" t="s">
        <v>22</v>
      </c>
      <c r="B7" s="74" t="s">
        <v>0</v>
      </c>
      <c r="C7" s="74" t="s">
        <v>1</v>
      </c>
      <c r="D7" s="74" t="s">
        <v>28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29</v>
      </c>
      <c r="M7" s="77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  <c r="M8" s="78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  <c r="M9" s="79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0">
        <v>1</v>
      </c>
      <c r="B10" s="40">
        <v>85</v>
      </c>
      <c r="C10" s="45" t="s">
        <v>117</v>
      </c>
      <c r="D10" s="40" t="s">
        <v>31</v>
      </c>
      <c r="E10" s="45" t="s">
        <v>118</v>
      </c>
      <c r="F10" s="49" t="s">
        <v>30</v>
      </c>
      <c r="G10" s="47" t="s">
        <v>181</v>
      </c>
      <c r="H10" s="40">
        <v>1</v>
      </c>
      <c r="I10" s="27">
        <v>25</v>
      </c>
      <c r="J10" s="40">
        <v>1</v>
      </c>
      <c r="K10" s="27">
        <v>25</v>
      </c>
      <c r="L10" s="41">
        <f aca="true" t="shared" si="0" ref="L10:L16">I10+K10</f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0">
        <v>2</v>
      </c>
      <c r="B11" s="40">
        <v>70</v>
      </c>
      <c r="C11" s="45" t="s">
        <v>116</v>
      </c>
      <c r="D11" s="40" t="s">
        <v>31</v>
      </c>
      <c r="E11" s="45" t="s">
        <v>111</v>
      </c>
      <c r="F11" s="49" t="s">
        <v>30</v>
      </c>
      <c r="G11" s="47" t="s">
        <v>181</v>
      </c>
      <c r="H11" s="40">
        <v>2</v>
      </c>
      <c r="I11" s="27">
        <v>22</v>
      </c>
      <c r="J11" s="40">
        <v>2</v>
      </c>
      <c r="K11" s="27">
        <v>22</v>
      </c>
      <c r="L11" s="41">
        <f t="shared" si="0"/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0">
        <v>3</v>
      </c>
      <c r="B12" s="40">
        <v>77</v>
      </c>
      <c r="C12" s="45" t="s">
        <v>169</v>
      </c>
      <c r="D12" s="40" t="s">
        <v>31</v>
      </c>
      <c r="E12" s="45" t="s">
        <v>170</v>
      </c>
      <c r="F12" s="49" t="s">
        <v>30</v>
      </c>
      <c r="G12" s="47" t="s">
        <v>181</v>
      </c>
      <c r="H12" s="40">
        <v>3</v>
      </c>
      <c r="I12" s="27">
        <v>20</v>
      </c>
      <c r="J12" s="40">
        <v>3</v>
      </c>
      <c r="K12" s="27">
        <v>20</v>
      </c>
      <c r="L12" s="41">
        <f t="shared" si="0"/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0">
        <v>4</v>
      </c>
      <c r="B13" s="40">
        <v>6</v>
      </c>
      <c r="C13" s="45" t="s">
        <v>202</v>
      </c>
      <c r="D13" s="40" t="s">
        <v>31</v>
      </c>
      <c r="E13" s="45" t="s">
        <v>36</v>
      </c>
      <c r="F13" s="49" t="s">
        <v>30</v>
      </c>
      <c r="G13" s="47" t="s">
        <v>181</v>
      </c>
      <c r="H13" s="40">
        <v>4</v>
      </c>
      <c r="I13" s="27">
        <v>18</v>
      </c>
      <c r="J13" s="40">
        <v>5</v>
      </c>
      <c r="K13" s="27">
        <v>16</v>
      </c>
      <c r="L13" s="41">
        <f t="shared" si="0"/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0">
        <v>5</v>
      </c>
      <c r="B14" s="40">
        <v>33</v>
      </c>
      <c r="C14" s="45" t="s">
        <v>140</v>
      </c>
      <c r="D14" s="40" t="s">
        <v>31</v>
      </c>
      <c r="E14" s="45" t="s">
        <v>36</v>
      </c>
      <c r="F14" s="49" t="s">
        <v>30</v>
      </c>
      <c r="G14" s="47" t="s">
        <v>181</v>
      </c>
      <c r="H14" s="40">
        <v>6</v>
      </c>
      <c r="I14" s="27">
        <v>15</v>
      </c>
      <c r="J14" s="40">
        <v>4</v>
      </c>
      <c r="K14" s="27">
        <v>18</v>
      </c>
      <c r="L14" s="41">
        <f t="shared" si="0"/>
        <v>33</v>
      </c>
      <c r="M14" s="20" t="e">
        <f>#REF!+#REF!</f>
        <v>#REF!</v>
      </c>
      <c r="N14" s="21"/>
      <c r="O14" s="22"/>
      <c r="P14" s="21">
        <f>IF(H13=1,25,0)</f>
        <v>0</v>
      </c>
      <c r="Q14" s="21">
        <f>IF(H13=2,22,0)</f>
        <v>0</v>
      </c>
      <c r="R14" s="21">
        <f>IF(H13=3,20,0)</f>
        <v>0</v>
      </c>
      <c r="S14" s="21">
        <f>IF(H13=4,18,0)</f>
        <v>18</v>
      </c>
      <c r="T14" s="21">
        <f>IF(H13=5,16,0)</f>
        <v>0</v>
      </c>
      <c r="U14" s="21">
        <f>IF(H13=6,15,0)</f>
        <v>0</v>
      </c>
      <c r="V14" s="21">
        <f>IF(H13=7,14,0)</f>
        <v>0</v>
      </c>
      <c r="W14" s="21">
        <f>IF(H13=8,13,0)</f>
        <v>0</v>
      </c>
      <c r="X14" s="21">
        <f>IF(H13=9,12,0)</f>
        <v>0</v>
      </c>
      <c r="Y14" s="21">
        <f>IF(H13=10,11,0)</f>
        <v>0</v>
      </c>
      <c r="Z14" s="21">
        <f>IF(H13=11,10,0)</f>
        <v>0</v>
      </c>
      <c r="AA14" s="21">
        <f>IF(H13=12,9,0)</f>
        <v>0</v>
      </c>
      <c r="AB14" s="21">
        <f>IF(H13=13,8,0)</f>
        <v>0</v>
      </c>
      <c r="AC14" s="21">
        <f>IF(H13=14,7,0)</f>
        <v>0</v>
      </c>
      <c r="AD14" s="21">
        <f>IF(H13=15,6,0)</f>
        <v>0</v>
      </c>
      <c r="AE14" s="21">
        <f>IF(H13=16,5,0)</f>
        <v>0</v>
      </c>
      <c r="AF14" s="21">
        <f>IF(H13=17,4,0)</f>
        <v>0</v>
      </c>
      <c r="AG14" s="21">
        <f>IF(H13=18,3,0)</f>
        <v>0</v>
      </c>
      <c r="AH14" s="21">
        <f>IF(H13=19,2,0)</f>
        <v>0</v>
      </c>
      <c r="AI14" s="21">
        <f>IF(H13=20,1,0)</f>
        <v>0</v>
      </c>
      <c r="AJ14" s="21">
        <f>IF(H13&gt;20,0,0)</f>
        <v>0</v>
      </c>
      <c r="AK14" s="21">
        <f>IF(H13="сх",0,0)</f>
        <v>0</v>
      </c>
      <c r="AL14" s="21">
        <f>SUM(P14:AJ14)</f>
        <v>18</v>
      </c>
      <c r="AM14" s="21">
        <f>IF(J13=1,25,0)</f>
        <v>0</v>
      </c>
      <c r="AN14" s="21">
        <f>IF(J13=2,22,0)</f>
        <v>0</v>
      </c>
      <c r="AO14" s="21">
        <f>IF(J13=3,20,0)</f>
        <v>0</v>
      </c>
      <c r="AP14" s="21">
        <f>IF(J13=4,18,0)</f>
        <v>0</v>
      </c>
      <c r="AQ14" s="21">
        <f>IF(J13=5,16,0)</f>
        <v>16</v>
      </c>
      <c r="AR14" s="21">
        <f>IF(J13=6,15,0)</f>
        <v>0</v>
      </c>
      <c r="AS14" s="21">
        <f>IF(J13=7,14,0)</f>
        <v>0</v>
      </c>
      <c r="AT14" s="21">
        <f>IF(J13=8,13,0)</f>
        <v>0</v>
      </c>
      <c r="AU14" s="21">
        <f>IF(J13=9,12,0)</f>
        <v>0</v>
      </c>
      <c r="AV14" s="21">
        <f>IF(J13=10,11,0)</f>
        <v>0</v>
      </c>
      <c r="AW14" s="21">
        <f>IF(J13=11,10,0)</f>
        <v>0</v>
      </c>
      <c r="AX14" s="21">
        <f>IF(J13=12,9,0)</f>
        <v>0</v>
      </c>
      <c r="AY14" s="21">
        <f>IF(J13=13,8,0)</f>
        <v>0</v>
      </c>
      <c r="AZ14" s="21">
        <f>IF(J13=14,7,0)</f>
        <v>0</v>
      </c>
      <c r="BA14" s="21">
        <f>IF(J13=15,6,0)</f>
        <v>0</v>
      </c>
      <c r="BB14" s="21">
        <f>IF(J13=16,5,0)</f>
        <v>0</v>
      </c>
      <c r="BC14" s="21">
        <f>IF(J13=17,4,0)</f>
        <v>0</v>
      </c>
      <c r="BD14" s="21">
        <f>IF(J13=18,3,0)</f>
        <v>0</v>
      </c>
      <c r="BE14" s="21">
        <f>IF(J13=19,2,0)</f>
        <v>0</v>
      </c>
      <c r="BF14" s="21">
        <f>IF(J13=20,1,0)</f>
        <v>0</v>
      </c>
      <c r="BG14" s="21">
        <f>IF(J13&gt;20,0,0)</f>
        <v>0</v>
      </c>
      <c r="BH14" s="21">
        <f>IF(J13="сх",0,0)</f>
        <v>0</v>
      </c>
      <c r="BI14" s="21">
        <f>SUM(AM14:BG14)</f>
        <v>16</v>
      </c>
      <c r="BJ14" s="21">
        <f>IF(H13=1,45,0)</f>
        <v>0</v>
      </c>
      <c r="BK14" s="21">
        <f>IF(H13=2,42,0)</f>
        <v>0</v>
      </c>
      <c r="BL14" s="21">
        <f>IF(H13=3,40,0)</f>
        <v>0</v>
      </c>
      <c r="BM14" s="21">
        <f>IF(H13=4,38,0)</f>
        <v>38</v>
      </c>
      <c r="BN14" s="21">
        <f>IF(H13=5,36,0)</f>
        <v>0</v>
      </c>
      <c r="BO14" s="21">
        <f>IF(H13=6,35,0)</f>
        <v>0</v>
      </c>
      <c r="BP14" s="21">
        <f>IF(H13=7,34,0)</f>
        <v>0</v>
      </c>
      <c r="BQ14" s="21">
        <f>IF(H13=8,33,0)</f>
        <v>0</v>
      </c>
      <c r="BR14" s="21">
        <f>IF(H13=9,32,0)</f>
        <v>0</v>
      </c>
      <c r="BS14" s="21">
        <f>IF(H13=10,31,0)</f>
        <v>0</v>
      </c>
      <c r="BT14" s="21">
        <f>IF(H13=11,30,0)</f>
        <v>0</v>
      </c>
      <c r="BU14" s="21">
        <f>IF(H13=12,29,0)</f>
        <v>0</v>
      </c>
      <c r="BV14" s="21">
        <f>IF(H13=13,28,0)</f>
        <v>0</v>
      </c>
      <c r="BW14" s="21">
        <f>IF(H13=14,27,0)</f>
        <v>0</v>
      </c>
      <c r="BX14" s="21">
        <f>IF(H13=15,26,0)</f>
        <v>0</v>
      </c>
      <c r="BY14" s="21">
        <f>IF(H13=16,25,0)</f>
        <v>0</v>
      </c>
      <c r="BZ14" s="21">
        <f>IF(H13=17,24,0)</f>
        <v>0</v>
      </c>
      <c r="CA14" s="21">
        <f>IF(H13=18,23,0)</f>
        <v>0</v>
      </c>
      <c r="CB14" s="21">
        <f>IF(H13=19,22,0)</f>
        <v>0</v>
      </c>
      <c r="CC14" s="21">
        <f>IF(H13=20,21,0)</f>
        <v>0</v>
      </c>
      <c r="CD14" s="21">
        <f>IF(H13=21,20,0)</f>
        <v>0</v>
      </c>
      <c r="CE14" s="21">
        <f>IF(H13=22,19,0)</f>
        <v>0</v>
      </c>
      <c r="CF14" s="21">
        <f>IF(H13=23,18,0)</f>
        <v>0</v>
      </c>
      <c r="CG14" s="21">
        <f>IF(H13=24,17,0)</f>
        <v>0</v>
      </c>
      <c r="CH14" s="21">
        <f>IF(H13=25,16,0)</f>
        <v>0</v>
      </c>
      <c r="CI14" s="21">
        <f>IF(H13=26,15,0)</f>
        <v>0</v>
      </c>
      <c r="CJ14" s="21">
        <f>IF(H13=27,14,0)</f>
        <v>0</v>
      </c>
      <c r="CK14" s="21">
        <f>IF(H13=28,13,0)</f>
        <v>0</v>
      </c>
      <c r="CL14" s="21">
        <f>IF(H13=29,12,0)</f>
        <v>0</v>
      </c>
      <c r="CM14" s="21">
        <f>IF(H13=30,11,0)</f>
        <v>0</v>
      </c>
      <c r="CN14" s="21">
        <f>IF(H13=31,10,0)</f>
        <v>0</v>
      </c>
      <c r="CO14" s="21">
        <f>IF(H13=32,9,0)</f>
        <v>0</v>
      </c>
      <c r="CP14" s="21">
        <f>IF(H13=33,8,0)</f>
        <v>0</v>
      </c>
      <c r="CQ14" s="21">
        <f>IF(H13=34,7,0)</f>
        <v>0</v>
      </c>
      <c r="CR14" s="21">
        <f>IF(H13=35,6,0)</f>
        <v>0</v>
      </c>
      <c r="CS14" s="21">
        <f>IF(H13=36,5,0)</f>
        <v>0</v>
      </c>
      <c r="CT14" s="21">
        <f>IF(H13=37,4,0)</f>
        <v>0</v>
      </c>
      <c r="CU14" s="21">
        <f>IF(H13=38,3,0)</f>
        <v>0</v>
      </c>
      <c r="CV14" s="21">
        <f>IF(H13=39,2,0)</f>
        <v>0</v>
      </c>
      <c r="CW14" s="21">
        <f>IF(H13=40,1,0)</f>
        <v>0</v>
      </c>
      <c r="CX14" s="21">
        <f>IF(H13&gt;20,0,0)</f>
        <v>0</v>
      </c>
      <c r="CY14" s="21">
        <f>IF(H13="сх",0,0)</f>
        <v>0</v>
      </c>
      <c r="CZ14" s="21">
        <f>SUM(BJ14:CY14)</f>
        <v>38</v>
      </c>
      <c r="DA14" s="21">
        <f>IF(J13=1,45,0)</f>
        <v>0</v>
      </c>
      <c r="DB14" s="21">
        <f>IF(J13=2,42,0)</f>
        <v>0</v>
      </c>
      <c r="DC14" s="21">
        <f>IF(J13=3,40,0)</f>
        <v>0</v>
      </c>
      <c r="DD14" s="21">
        <f>IF(J13=4,38,0)</f>
        <v>0</v>
      </c>
      <c r="DE14" s="21">
        <f>IF(J13=5,36,0)</f>
        <v>36</v>
      </c>
      <c r="DF14" s="21">
        <f>IF(J13=6,35,0)</f>
        <v>0</v>
      </c>
      <c r="DG14" s="21">
        <f>IF(J13=7,34,0)</f>
        <v>0</v>
      </c>
      <c r="DH14" s="21">
        <f>IF(J13=8,33,0)</f>
        <v>0</v>
      </c>
      <c r="DI14" s="21">
        <f>IF(J13=9,32,0)</f>
        <v>0</v>
      </c>
      <c r="DJ14" s="21">
        <f>IF(J13=10,31,0)</f>
        <v>0</v>
      </c>
      <c r="DK14" s="21">
        <f>IF(J13=11,30,0)</f>
        <v>0</v>
      </c>
      <c r="DL14" s="21">
        <f>IF(J13=12,29,0)</f>
        <v>0</v>
      </c>
      <c r="DM14" s="21">
        <f>IF(J13=13,28,0)</f>
        <v>0</v>
      </c>
      <c r="DN14" s="21">
        <f>IF(J13=14,27,0)</f>
        <v>0</v>
      </c>
      <c r="DO14" s="21">
        <f>IF(J13=15,26,0)</f>
        <v>0</v>
      </c>
      <c r="DP14" s="21">
        <f>IF(J13=16,25,0)</f>
        <v>0</v>
      </c>
      <c r="DQ14" s="21">
        <f>IF(J13=17,24,0)</f>
        <v>0</v>
      </c>
      <c r="DR14" s="21">
        <f>IF(J13=18,23,0)</f>
        <v>0</v>
      </c>
      <c r="DS14" s="21">
        <f>IF(J13=19,22,0)</f>
        <v>0</v>
      </c>
      <c r="DT14" s="21">
        <f>IF(J13=20,21,0)</f>
        <v>0</v>
      </c>
      <c r="DU14" s="21">
        <f>IF(J13=21,20,0)</f>
        <v>0</v>
      </c>
      <c r="DV14" s="21">
        <f>IF(J13=22,19,0)</f>
        <v>0</v>
      </c>
      <c r="DW14" s="21">
        <f>IF(J13=23,18,0)</f>
        <v>0</v>
      </c>
      <c r="DX14" s="21">
        <f>IF(J13=24,17,0)</f>
        <v>0</v>
      </c>
      <c r="DY14" s="21">
        <f>IF(J13=25,16,0)</f>
        <v>0</v>
      </c>
      <c r="DZ14" s="21">
        <f>IF(J13=26,15,0)</f>
        <v>0</v>
      </c>
      <c r="EA14" s="21">
        <f>IF(J13=27,14,0)</f>
        <v>0</v>
      </c>
      <c r="EB14" s="21">
        <f>IF(J13=28,13,0)</f>
        <v>0</v>
      </c>
      <c r="EC14" s="21">
        <f>IF(J13=29,12,0)</f>
        <v>0</v>
      </c>
      <c r="ED14" s="21">
        <f>IF(J13=30,11,0)</f>
        <v>0</v>
      </c>
      <c r="EE14" s="21">
        <f>IF(J13=31,10,0)</f>
        <v>0</v>
      </c>
      <c r="EF14" s="21">
        <f>IF(J13=32,9,0)</f>
        <v>0</v>
      </c>
      <c r="EG14" s="21">
        <f>IF(J13=33,8,0)</f>
        <v>0</v>
      </c>
      <c r="EH14" s="21">
        <f>IF(J13=34,7,0)</f>
        <v>0</v>
      </c>
      <c r="EI14" s="21">
        <f>IF(J13=35,6,0)</f>
        <v>0</v>
      </c>
      <c r="EJ14" s="21">
        <f>IF(J13=36,5,0)</f>
        <v>0</v>
      </c>
      <c r="EK14" s="21">
        <f>IF(J13=37,4,0)</f>
        <v>0</v>
      </c>
      <c r="EL14" s="21">
        <f>IF(J13=38,3,0)</f>
        <v>0</v>
      </c>
      <c r="EM14" s="21">
        <f>IF(J13=39,2,0)</f>
        <v>0</v>
      </c>
      <c r="EN14" s="21">
        <f>IF(J13=40,1,0)</f>
        <v>0</v>
      </c>
      <c r="EO14" s="21">
        <f>IF(J13&gt;20,0,0)</f>
        <v>0</v>
      </c>
      <c r="EP14" s="21">
        <f>IF(J13="сх",0,0)</f>
        <v>0</v>
      </c>
      <c r="EQ14" s="21">
        <f>SUM(DA14:EP14)</f>
        <v>36</v>
      </c>
      <c r="ER14" s="21"/>
      <c r="ES14" s="21">
        <f>IF(H13="сх","ноль",IF(H13&gt;0,H13,"Ноль"))</f>
        <v>4</v>
      </c>
      <c r="ET14" s="21">
        <f>IF(J13="сх","ноль",IF(J13&gt;0,J13,"Ноль"))</f>
        <v>5</v>
      </c>
      <c r="EU14" s="21"/>
      <c r="EV14" s="21">
        <f>MIN(ES14,ET14)</f>
        <v>4</v>
      </c>
      <c r="EW14" s="21" t="e">
        <f>IF(L13=#REF!,IF(J13&lt;#REF!,#REF!,FA14),#REF!)</f>
        <v>#REF!</v>
      </c>
      <c r="EX14" s="21" t="e">
        <f>IF(L13=#REF!,IF(J13&lt;#REF!,0,1))</f>
        <v>#REF!</v>
      </c>
      <c r="EY14" s="21" t="e">
        <f>IF(AND(EV14&gt;=21,EV14&lt;&gt;0),EV14,IF(L13&lt;#REF!,"СТОП",EW14+EX14))</f>
        <v>#REF!</v>
      </c>
      <c r="EZ14" s="21"/>
      <c r="FA14" s="21">
        <v>25</v>
      </c>
      <c r="FB14" s="21">
        <v>26</v>
      </c>
      <c r="FC14" s="21"/>
      <c r="FD14" s="23">
        <f>IF(H13=1,25,0)</f>
        <v>0</v>
      </c>
      <c r="FE14" s="23">
        <f>IF(H13=2,22,0)</f>
        <v>0</v>
      </c>
      <c r="FF14" s="23">
        <f>IF(H13=3,20,0)</f>
        <v>0</v>
      </c>
      <c r="FG14" s="23">
        <f>IF(H13=4,18,0)</f>
        <v>18</v>
      </c>
      <c r="FH14" s="23">
        <f>IF(H13=5,16,0)</f>
        <v>0</v>
      </c>
      <c r="FI14" s="23">
        <f>IF(H13=6,15,0)</f>
        <v>0</v>
      </c>
      <c r="FJ14" s="23">
        <f>IF(H13=7,14,0)</f>
        <v>0</v>
      </c>
      <c r="FK14" s="23">
        <f>IF(H13=8,13,0)</f>
        <v>0</v>
      </c>
      <c r="FL14" s="23">
        <f>IF(H13=9,12,0)</f>
        <v>0</v>
      </c>
      <c r="FM14" s="23">
        <f>IF(H13=10,11,0)</f>
        <v>0</v>
      </c>
      <c r="FN14" s="23">
        <f>IF(H13=11,10,0)</f>
        <v>0</v>
      </c>
      <c r="FO14" s="23">
        <f>IF(H13=12,9,0)</f>
        <v>0</v>
      </c>
      <c r="FP14" s="23">
        <f>IF(H13=13,8,0)</f>
        <v>0</v>
      </c>
      <c r="FQ14" s="23">
        <f>IF(H13=14,7,0)</f>
        <v>0</v>
      </c>
      <c r="FR14" s="23">
        <f>IF(H13=15,6,0)</f>
        <v>0</v>
      </c>
      <c r="FS14" s="23">
        <f>IF(H13=16,5,0)</f>
        <v>0</v>
      </c>
      <c r="FT14" s="23">
        <f>IF(H13=17,4,0)</f>
        <v>0</v>
      </c>
      <c r="FU14" s="23">
        <f>IF(H13=18,3,0)</f>
        <v>0</v>
      </c>
      <c r="FV14" s="23">
        <f>IF(H13=19,2,0)</f>
        <v>0</v>
      </c>
      <c r="FW14" s="23">
        <f>IF(H13=20,1,0)</f>
        <v>0</v>
      </c>
      <c r="FX14" s="23">
        <f>IF(H13&gt;20,0,0)</f>
        <v>0</v>
      </c>
      <c r="FY14" s="23">
        <f>IF(H13="сх",0,0)</f>
        <v>0</v>
      </c>
      <c r="FZ14" s="23">
        <f>SUM(FD14:FY14)</f>
        <v>18</v>
      </c>
      <c r="GA14" s="23">
        <f>IF(J13=1,25,0)</f>
        <v>0</v>
      </c>
      <c r="GB14" s="23">
        <f>IF(J13=2,22,0)</f>
        <v>0</v>
      </c>
      <c r="GC14" s="23">
        <f>IF(J13=3,20,0)</f>
        <v>0</v>
      </c>
      <c r="GD14" s="23">
        <f>IF(J13=4,18,0)</f>
        <v>0</v>
      </c>
      <c r="GE14" s="23">
        <f>IF(J13=5,16,0)</f>
        <v>16</v>
      </c>
      <c r="GF14" s="23">
        <f>IF(J13=6,15,0)</f>
        <v>0</v>
      </c>
      <c r="GG14" s="23">
        <f>IF(J13=7,14,0)</f>
        <v>0</v>
      </c>
      <c r="GH14" s="23">
        <f>IF(J13=8,13,0)</f>
        <v>0</v>
      </c>
      <c r="GI14" s="23">
        <f>IF(J13=9,12,0)</f>
        <v>0</v>
      </c>
      <c r="GJ14" s="23">
        <f>IF(J13=10,11,0)</f>
        <v>0</v>
      </c>
      <c r="GK14" s="23">
        <f>IF(J13=11,10,0)</f>
        <v>0</v>
      </c>
      <c r="GL14" s="23">
        <f>IF(J13=12,9,0)</f>
        <v>0</v>
      </c>
      <c r="GM14" s="23">
        <f>IF(J13=13,8,0)</f>
        <v>0</v>
      </c>
      <c r="GN14" s="23">
        <f>IF(J13=14,7,0)</f>
        <v>0</v>
      </c>
      <c r="GO14" s="23">
        <f>IF(J13=15,6,0)</f>
        <v>0</v>
      </c>
      <c r="GP14" s="23">
        <f>IF(J13=16,5,0)</f>
        <v>0</v>
      </c>
      <c r="GQ14" s="23">
        <f>IF(J13=17,4,0)</f>
        <v>0</v>
      </c>
      <c r="GR14" s="23">
        <f>IF(J13=18,3,0)</f>
        <v>0</v>
      </c>
      <c r="GS14" s="23">
        <f>IF(J13=19,2,0)</f>
        <v>0</v>
      </c>
      <c r="GT14" s="23">
        <f>IF(J13=20,1,0)</f>
        <v>0</v>
      </c>
      <c r="GU14" s="23">
        <f>IF(J13&gt;20,0,0)</f>
        <v>0</v>
      </c>
      <c r="GV14" s="23">
        <f>IF(J13="сх",0,0)</f>
        <v>0</v>
      </c>
      <c r="GW14" s="23">
        <f>SUM(GA14:GV14)</f>
        <v>16</v>
      </c>
      <c r="GX14" s="23">
        <f>IF(H13=1,100,0)</f>
        <v>0</v>
      </c>
      <c r="GY14" s="23">
        <f>IF(H13=2,98,0)</f>
        <v>0</v>
      </c>
      <c r="GZ14" s="23">
        <f>IF(H13=3,95,0)</f>
        <v>0</v>
      </c>
      <c r="HA14" s="23">
        <f>IF(H13=4,93,0)</f>
        <v>93</v>
      </c>
      <c r="HB14" s="23">
        <f>IF(H13=5,90,0)</f>
        <v>0</v>
      </c>
      <c r="HC14" s="23">
        <f>IF(H13=6,88,0)</f>
        <v>0</v>
      </c>
      <c r="HD14" s="23">
        <f>IF(H13=7,85,0)</f>
        <v>0</v>
      </c>
      <c r="HE14" s="23">
        <f>IF(H13=8,83,0)</f>
        <v>0</v>
      </c>
      <c r="HF14" s="23">
        <f>IF(H13=9,80,0)</f>
        <v>0</v>
      </c>
      <c r="HG14" s="23">
        <f>IF(H13=10,78,0)</f>
        <v>0</v>
      </c>
      <c r="HH14" s="23">
        <f>IF(H13=11,75,0)</f>
        <v>0</v>
      </c>
      <c r="HI14" s="23">
        <f>IF(H13=12,73,0)</f>
        <v>0</v>
      </c>
      <c r="HJ14" s="23">
        <f>IF(H13=13,70,0)</f>
        <v>0</v>
      </c>
      <c r="HK14" s="23">
        <f>IF(H13=14,68,0)</f>
        <v>0</v>
      </c>
      <c r="HL14" s="23">
        <f>IF(H13=15,65,0)</f>
        <v>0</v>
      </c>
      <c r="HM14" s="23">
        <f>IF(H13=16,63,0)</f>
        <v>0</v>
      </c>
      <c r="HN14" s="23">
        <f>IF(H13=17,60,0)</f>
        <v>0</v>
      </c>
      <c r="HO14" s="23">
        <f>IF(H13=18,58,0)</f>
        <v>0</v>
      </c>
      <c r="HP14" s="23">
        <f>IF(H13=19,55,0)</f>
        <v>0</v>
      </c>
      <c r="HQ14" s="23">
        <f>IF(H13=20,53,0)</f>
        <v>0</v>
      </c>
      <c r="HR14" s="23">
        <f>IF(H13&gt;20,0,0)</f>
        <v>0</v>
      </c>
      <c r="HS14" s="23">
        <f>IF(H13="сх",0,0)</f>
        <v>0</v>
      </c>
      <c r="HT14" s="23">
        <f>SUM(GX14:HS14)</f>
        <v>93</v>
      </c>
      <c r="HU14" s="23">
        <f>IF(J13=1,100,0)</f>
        <v>0</v>
      </c>
      <c r="HV14" s="23">
        <f>IF(J13=2,98,0)</f>
        <v>0</v>
      </c>
      <c r="HW14" s="23">
        <f>IF(J13=3,95,0)</f>
        <v>0</v>
      </c>
      <c r="HX14" s="23">
        <f>IF(J13=4,93,0)</f>
        <v>0</v>
      </c>
      <c r="HY14" s="23">
        <f>IF(J13=5,90,0)</f>
        <v>90</v>
      </c>
      <c r="HZ14" s="23">
        <f>IF(J13=6,88,0)</f>
        <v>0</v>
      </c>
      <c r="IA14" s="23">
        <f>IF(J13=7,85,0)</f>
        <v>0</v>
      </c>
      <c r="IB14" s="23">
        <f>IF(J13=8,83,0)</f>
        <v>0</v>
      </c>
      <c r="IC14" s="23">
        <f>IF(J13=9,80,0)</f>
        <v>0</v>
      </c>
      <c r="ID14" s="23">
        <f>IF(J13=10,78,0)</f>
        <v>0</v>
      </c>
      <c r="IE14" s="23">
        <f>IF(J13=11,75,0)</f>
        <v>0</v>
      </c>
      <c r="IF14" s="23">
        <f>IF(J13=12,73,0)</f>
        <v>0</v>
      </c>
      <c r="IG14" s="23">
        <f>IF(J13=13,70,0)</f>
        <v>0</v>
      </c>
      <c r="IH14" s="23">
        <f>IF(J13=14,68,0)</f>
        <v>0</v>
      </c>
      <c r="II14" s="23">
        <f>IF(J13=15,65,0)</f>
        <v>0</v>
      </c>
      <c r="IJ14" s="23">
        <f>IF(J13=16,63,0)</f>
        <v>0</v>
      </c>
      <c r="IK14" s="23">
        <f>IF(J13=17,60,0)</f>
        <v>0</v>
      </c>
      <c r="IL14" s="23">
        <f>IF(J13=18,58,0)</f>
        <v>0</v>
      </c>
      <c r="IM14" s="23">
        <f>IF(J13=19,55,0)</f>
        <v>0</v>
      </c>
      <c r="IN14" s="23">
        <f>IF(J13=20,53,0)</f>
        <v>0</v>
      </c>
      <c r="IO14" s="23">
        <f>IF(J13&gt;20,0,0)</f>
        <v>0</v>
      </c>
      <c r="IP14" s="23">
        <f>IF(J13="сх",0,0)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0">
        <v>6</v>
      </c>
      <c r="B15" s="40">
        <v>22</v>
      </c>
      <c r="C15" s="45" t="s">
        <v>179</v>
      </c>
      <c r="D15" s="40" t="s">
        <v>31</v>
      </c>
      <c r="E15" s="45" t="s">
        <v>37</v>
      </c>
      <c r="F15" s="49" t="s">
        <v>30</v>
      </c>
      <c r="G15" s="47" t="s">
        <v>181</v>
      </c>
      <c r="H15" s="40">
        <v>5</v>
      </c>
      <c r="I15" s="27">
        <v>16</v>
      </c>
      <c r="J15" s="40">
        <v>6</v>
      </c>
      <c r="K15" s="27">
        <v>15</v>
      </c>
      <c r="L15" s="41">
        <f t="shared" si="0"/>
        <v>31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0">
        <v>7</v>
      </c>
      <c r="B16" s="40">
        <v>34</v>
      </c>
      <c r="C16" s="45" t="s">
        <v>180</v>
      </c>
      <c r="D16" s="40" t="s">
        <v>31</v>
      </c>
      <c r="E16" s="45" t="s">
        <v>145</v>
      </c>
      <c r="F16" s="49" t="s">
        <v>30</v>
      </c>
      <c r="G16" s="47" t="s">
        <v>181</v>
      </c>
      <c r="H16" s="40">
        <v>7</v>
      </c>
      <c r="I16" s="27">
        <v>14</v>
      </c>
      <c r="J16" s="40">
        <v>7</v>
      </c>
      <c r="K16" s="27">
        <v>14</v>
      </c>
      <c r="L16" s="41">
        <f t="shared" si="0"/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0">
        <v>8</v>
      </c>
      <c r="B17" s="40"/>
      <c r="C17" s="45"/>
      <c r="D17" s="40"/>
      <c r="E17" s="45"/>
      <c r="F17" s="49"/>
      <c r="G17" s="47"/>
      <c r="H17" s="40"/>
      <c r="I17" s="27"/>
      <c r="J17" s="40"/>
      <c r="K17" s="27"/>
      <c r="L17" s="41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0">
        <v>9</v>
      </c>
      <c r="B18" s="40"/>
      <c r="C18" s="45"/>
      <c r="D18" s="40"/>
      <c r="E18" s="45"/>
      <c r="F18" s="49"/>
      <c r="G18" s="47"/>
      <c r="H18" s="40"/>
      <c r="I18" s="27"/>
      <c r="J18" s="40"/>
      <c r="K18" s="27"/>
      <c r="L18" s="41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0">
        <v>10</v>
      </c>
      <c r="B19" s="40"/>
      <c r="C19" s="45"/>
      <c r="D19" s="40"/>
      <c r="E19" s="45"/>
      <c r="F19" s="49"/>
      <c r="G19" s="47"/>
      <c r="H19" s="40"/>
      <c r="I19" s="27"/>
      <c r="J19" s="40"/>
      <c r="K19" s="27"/>
      <c r="L19" s="41"/>
    </row>
    <row r="20" spans="1:256" s="3" customFormat="1" ht="15.75" customHeight="1">
      <c r="A20" s="76" t="s">
        <v>23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3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76" t="s">
        <v>133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76" t="s">
        <v>44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3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6" t="s">
        <v>53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3:256" ht="12.75"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3:256" ht="12.75"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30" ht="12.75">
      <c r="F30"/>
    </row>
    <row r="31" spans="10:152" ht="12.75">
      <c r="J31"/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14:152" ht="12.75"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14:152" ht="12.75">
      <c r="N33" s="1"/>
      <c r="DP33"/>
      <c r="DQ33"/>
      <c r="DR33"/>
      <c r="DX33" s="1"/>
      <c r="DY33" s="1"/>
      <c r="DZ33" s="1"/>
      <c r="EJ33" s="2"/>
      <c r="EK33" s="2"/>
      <c r="EL33" s="2"/>
      <c r="EM33" s="2"/>
      <c r="EN33" s="2"/>
      <c r="ER33" s="1"/>
      <c r="ES33" s="1"/>
      <c r="ET33" s="1"/>
      <c r="EU33" s="1"/>
      <c r="EV33" s="1"/>
    </row>
    <row r="34" spans="14:152" ht="12.75">
      <c r="N34" s="1"/>
      <c r="DP34"/>
      <c r="DQ34"/>
      <c r="DR34"/>
      <c r="DX34" s="1"/>
      <c r="DY34" s="1"/>
      <c r="DZ34" s="1"/>
      <c r="EJ34" s="2"/>
      <c r="EK34" s="2"/>
      <c r="EL34" s="2"/>
      <c r="EM34" s="2"/>
      <c r="EN34" s="2"/>
      <c r="ER34" s="1"/>
      <c r="ES34" s="1"/>
      <c r="ET34" s="1"/>
      <c r="EU34" s="1"/>
      <c r="EV34" s="1"/>
    </row>
  </sheetData>
  <sheetProtection formatCells="0" formatColumns="0" formatRows="0" insertColumns="0" insertRows="0" insertHyperlinks="0" deleteColumns="0" deleteRows="0" autoFilter="0" pivotTables="0"/>
  <mergeCells count="24"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  <mergeCell ref="A21:L21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printOptions horizontalCentered="1"/>
  <pageMargins left="0.011446886446886446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36"/>
  <sheetViews>
    <sheetView view="pageLayout" zoomScale="140" zoomScalePageLayoutView="140" workbookViewId="0" topLeftCell="A1">
      <selection activeCell="A4" sqref="A4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71" t="s">
        <v>201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72" t="s">
        <v>211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4" t="s">
        <v>22</v>
      </c>
      <c r="B7" s="74" t="s">
        <v>0</v>
      </c>
      <c r="C7" s="74" t="s">
        <v>1</v>
      </c>
      <c r="D7" s="74" t="s">
        <v>28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29</v>
      </c>
      <c r="M7" s="77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  <c r="M8" s="78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  <c r="M9" s="79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0">
        <v>1</v>
      </c>
      <c r="B10" s="40">
        <v>17</v>
      </c>
      <c r="C10" s="45" t="s">
        <v>174</v>
      </c>
      <c r="D10" s="40" t="s">
        <v>31</v>
      </c>
      <c r="E10" s="45" t="s">
        <v>36</v>
      </c>
      <c r="F10" s="49" t="s">
        <v>30</v>
      </c>
      <c r="G10" s="47" t="s">
        <v>40</v>
      </c>
      <c r="H10" s="40">
        <v>1</v>
      </c>
      <c r="I10" s="27">
        <v>25</v>
      </c>
      <c r="J10" s="40">
        <v>1</v>
      </c>
      <c r="K10" s="27">
        <v>25</v>
      </c>
      <c r="L10" s="41">
        <f aca="true" t="shared" si="0" ref="L10:L18">I10+K10</f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0">
        <v>2</v>
      </c>
      <c r="B11" s="40">
        <v>7</v>
      </c>
      <c r="C11" s="46" t="s">
        <v>115</v>
      </c>
      <c r="D11" s="40" t="s">
        <v>31</v>
      </c>
      <c r="E11" s="45" t="s">
        <v>88</v>
      </c>
      <c r="F11" s="49" t="s">
        <v>30</v>
      </c>
      <c r="G11" s="47" t="s">
        <v>40</v>
      </c>
      <c r="H11" s="40">
        <v>2</v>
      </c>
      <c r="I11" s="27">
        <v>22</v>
      </c>
      <c r="J11" s="40">
        <v>3</v>
      </c>
      <c r="K11" s="27">
        <v>20</v>
      </c>
      <c r="L11" s="41">
        <f t="shared" si="0"/>
        <v>42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0">
        <v>3</v>
      </c>
      <c r="B12" s="40">
        <v>61</v>
      </c>
      <c r="C12" s="45" t="s">
        <v>99</v>
      </c>
      <c r="D12" s="40" t="s">
        <v>31</v>
      </c>
      <c r="E12" s="45" t="s">
        <v>61</v>
      </c>
      <c r="F12" s="49" t="s">
        <v>30</v>
      </c>
      <c r="G12" s="47" t="s">
        <v>40</v>
      </c>
      <c r="H12" s="40">
        <v>5</v>
      </c>
      <c r="I12" s="27">
        <v>16</v>
      </c>
      <c r="J12" s="40">
        <v>2</v>
      </c>
      <c r="K12" s="27">
        <v>22</v>
      </c>
      <c r="L12" s="41">
        <f t="shared" si="0"/>
        <v>38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0">
        <v>4</v>
      </c>
      <c r="B13" s="40">
        <v>88</v>
      </c>
      <c r="C13" s="45" t="s">
        <v>139</v>
      </c>
      <c r="D13" s="40" t="s">
        <v>31</v>
      </c>
      <c r="E13" s="45" t="s">
        <v>36</v>
      </c>
      <c r="F13" s="49" t="s">
        <v>30</v>
      </c>
      <c r="G13" s="47" t="s">
        <v>40</v>
      </c>
      <c r="H13" s="40">
        <v>3</v>
      </c>
      <c r="I13" s="27">
        <v>20</v>
      </c>
      <c r="J13" s="40">
        <v>4</v>
      </c>
      <c r="K13" s="27">
        <v>18</v>
      </c>
      <c r="L13" s="41">
        <f t="shared" si="0"/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0">
        <v>5</v>
      </c>
      <c r="B14" s="40">
        <v>85</v>
      </c>
      <c r="C14" s="45" t="s">
        <v>117</v>
      </c>
      <c r="D14" s="40" t="s">
        <v>31</v>
      </c>
      <c r="E14" s="45" t="s">
        <v>118</v>
      </c>
      <c r="F14" s="49" t="s">
        <v>30</v>
      </c>
      <c r="G14" s="47" t="s">
        <v>40</v>
      </c>
      <c r="H14" s="40">
        <v>4</v>
      </c>
      <c r="I14" s="27">
        <v>18</v>
      </c>
      <c r="J14" s="40">
        <v>5</v>
      </c>
      <c r="K14" s="27">
        <v>16</v>
      </c>
      <c r="L14" s="41">
        <f t="shared" si="0"/>
        <v>34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4</v>
      </c>
      <c r="ET14" s="21">
        <f>IF(J14="сх","ноль",IF(J14&gt;0,J14,"Ноль"))</f>
        <v>5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0">
        <v>6</v>
      </c>
      <c r="B15" s="40">
        <v>50</v>
      </c>
      <c r="C15" s="45" t="s">
        <v>119</v>
      </c>
      <c r="D15" s="40" t="s">
        <v>31</v>
      </c>
      <c r="E15" s="45" t="s">
        <v>36</v>
      </c>
      <c r="F15" s="49" t="s">
        <v>30</v>
      </c>
      <c r="G15" s="47" t="s">
        <v>40</v>
      </c>
      <c r="H15" s="40">
        <v>6</v>
      </c>
      <c r="I15" s="27">
        <v>15</v>
      </c>
      <c r="J15" s="40">
        <v>6</v>
      </c>
      <c r="K15" s="27">
        <v>15</v>
      </c>
      <c r="L15" s="41">
        <f t="shared" si="0"/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0">
        <v>7</v>
      </c>
      <c r="B16" s="40">
        <v>25</v>
      </c>
      <c r="C16" s="45" t="s">
        <v>141</v>
      </c>
      <c r="D16" s="40" t="s">
        <v>31</v>
      </c>
      <c r="E16" s="45" t="s">
        <v>36</v>
      </c>
      <c r="F16" s="49" t="s">
        <v>30</v>
      </c>
      <c r="G16" s="47" t="s">
        <v>40</v>
      </c>
      <c r="H16" s="40">
        <v>7</v>
      </c>
      <c r="I16" s="27">
        <v>14</v>
      </c>
      <c r="J16" s="40">
        <v>7</v>
      </c>
      <c r="K16" s="27">
        <v>14</v>
      </c>
      <c r="L16" s="41">
        <f t="shared" si="0"/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0">
        <v>8</v>
      </c>
      <c r="B17" s="40">
        <v>11</v>
      </c>
      <c r="C17" s="45" t="s">
        <v>171</v>
      </c>
      <c r="D17" s="40" t="s">
        <v>31</v>
      </c>
      <c r="E17" s="45" t="s">
        <v>36</v>
      </c>
      <c r="F17" s="49" t="s">
        <v>30</v>
      </c>
      <c r="G17" s="47" t="s">
        <v>40</v>
      </c>
      <c r="H17" s="40">
        <v>8</v>
      </c>
      <c r="I17" s="27">
        <v>13</v>
      </c>
      <c r="J17" s="40">
        <v>8</v>
      </c>
      <c r="K17" s="27">
        <v>13</v>
      </c>
      <c r="L17" s="41">
        <f t="shared" si="0"/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0">
        <v>9</v>
      </c>
      <c r="B18" s="58">
        <v>20</v>
      </c>
      <c r="C18" s="59" t="s">
        <v>203</v>
      </c>
      <c r="D18" s="58" t="s">
        <v>31</v>
      </c>
      <c r="E18" s="59" t="s">
        <v>36</v>
      </c>
      <c r="F18" s="60" t="s">
        <v>30</v>
      </c>
      <c r="G18" s="61" t="s">
        <v>40</v>
      </c>
      <c r="H18" s="58">
        <v>9</v>
      </c>
      <c r="I18" s="62">
        <v>12</v>
      </c>
      <c r="J18" s="58">
        <v>9</v>
      </c>
      <c r="K18" s="62">
        <v>12</v>
      </c>
      <c r="L18" s="63">
        <f t="shared" si="0"/>
        <v>24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0">
        <v>10</v>
      </c>
      <c r="B19" s="40"/>
      <c r="C19" s="45"/>
      <c r="D19" s="40"/>
      <c r="E19" s="45"/>
      <c r="F19" s="49"/>
      <c r="G19" s="47"/>
      <c r="H19" s="40"/>
      <c r="I19" s="27"/>
      <c r="J19" s="40"/>
      <c r="K19" s="27"/>
      <c r="L19" s="41"/>
    </row>
    <row r="20" spans="1:256" s="3" customFormat="1" ht="15.75" customHeight="1">
      <c r="A20" s="76" t="s">
        <v>23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3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76" t="s">
        <v>133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76" t="s">
        <v>44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3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6" t="s">
        <v>53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3:256" ht="12.75"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3:256" ht="12.75"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3:256" ht="12.75"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2" ht="12.75">
      <c r="J32"/>
    </row>
    <row r="36" spans="14:152" ht="12.75"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1:L21"/>
    <mergeCell ref="M7:M9"/>
    <mergeCell ref="H8:H9"/>
    <mergeCell ref="I8:I9"/>
    <mergeCell ref="J8:J9"/>
    <mergeCell ref="K8:K9"/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</mergeCell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27"/>
  <sheetViews>
    <sheetView zoomScale="140" zoomScaleNormal="140" zoomScalePageLayoutView="0" workbookViewId="0" topLeftCell="A4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71" t="s">
        <v>201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0"/>
    </row>
    <row r="5" spans="1:12" ht="15.75" customHeight="1">
      <c r="A5" s="72" t="s">
        <v>211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48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4" t="s">
        <v>22</v>
      </c>
      <c r="B8" s="74" t="s">
        <v>0</v>
      </c>
      <c r="C8" s="74" t="s">
        <v>1</v>
      </c>
      <c r="D8" s="74" t="s">
        <v>28</v>
      </c>
      <c r="E8" s="74" t="s">
        <v>25</v>
      </c>
      <c r="F8" s="74" t="s">
        <v>26</v>
      </c>
      <c r="G8" s="74" t="s">
        <v>2</v>
      </c>
      <c r="H8" s="74" t="s">
        <v>3</v>
      </c>
      <c r="I8" s="82"/>
      <c r="J8" s="74" t="s">
        <v>4</v>
      </c>
      <c r="K8" s="82"/>
      <c r="L8" s="83" t="s">
        <v>29</v>
      </c>
    </row>
    <row r="9" spans="1:12" ht="12.75">
      <c r="A9" s="75"/>
      <c r="B9" s="74"/>
      <c r="C9" s="74"/>
      <c r="D9" s="75"/>
      <c r="E9" s="75"/>
      <c r="F9" s="74"/>
      <c r="G9" s="75"/>
      <c r="H9" s="74" t="s">
        <v>11</v>
      </c>
      <c r="I9" s="80" t="s">
        <v>24</v>
      </c>
      <c r="J9" s="74" t="s">
        <v>11</v>
      </c>
      <c r="K9" s="80" t="s">
        <v>24</v>
      </c>
      <c r="L9" s="83"/>
    </row>
    <row r="10" spans="1:12" ht="27" customHeight="1">
      <c r="A10" s="75"/>
      <c r="B10" s="74"/>
      <c r="C10" s="74"/>
      <c r="D10" s="75"/>
      <c r="E10" s="75"/>
      <c r="F10" s="74"/>
      <c r="G10" s="75"/>
      <c r="H10" s="75"/>
      <c r="I10" s="81"/>
      <c r="J10" s="75"/>
      <c r="K10" s="81"/>
      <c r="L10" s="83"/>
    </row>
    <row r="11" spans="1:12" ht="15.75">
      <c r="A11" s="50">
        <v>1</v>
      </c>
      <c r="B11" s="40">
        <v>99</v>
      </c>
      <c r="C11" s="45" t="s">
        <v>120</v>
      </c>
      <c r="D11" s="40" t="s">
        <v>68</v>
      </c>
      <c r="E11" s="45" t="s">
        <v>36</v>
      </c>
      <c r="F11" s="48" t="s">
        <v>30</v>
      </c>
      <c r="G11" s="47" t="s">
        <v>39</v>
      </c>
      <c r="H11" s="40">
        <v>1</v>
      </c>
      <c r="I11" s="27">
        <v>25</v>
      </c>
      <c r="J11" s="40">
        <v>1</v>
      </c>
      <c r="K11" s="27">
        <v>25</v>
      </c>
      <c r="L11" s="41">
        <f aca="true" t="shared" si="0" ref="L11:L22">I11+K11</f>
        <v>50</v>
      </c>
    </row>
    <row r="12" spans="1:12" ht="15.75">
      <c r="A12" s="50">
        <v>2</v>
      </c>
      <c r="B12" s="40">
        <v>1</v>
      </c>
      <c r="C12" s="45" t="s">
        <v>101</v>
      </c>
      <c r="D12" s="40" t="s">
        <v>31</v>
      </c>
      <c r="E12" s="45" t="s">
        <v>35</v>
      </c>
      <c r="F12" s="48" t="s">
        <v>30</v>
      </c>
      <c r="G12" s="40" t="s">
        <v>40</v>
      </c>
      <c r="H12" s="40">
        <v>2</v>
      </c>
      <c r="I12" s="27">
        <v>22</v>
      </c>
      <c r="J12" s="40">
        <v>2</v>
      </c>
      <c r="K12" s="27">
        <v>22</v>
      </c>
      <c r="L12" s="41">
        <f t="shared" si="0"/>
        <v>44</v>
      </c>
    </row>
    <row r="13" spans="1:256" s="3" customFormat="1" ht="15.75" customHeight="1">
      <c r="A13" s="50">
        <v>3</v>
      </c>
      <c r="B13" s="40">
        <v>7</v>
      </c>
      <c r="C13" s="46" t="s">
        <v>60</v>
      </c>
      <c r="D13" s="40" t="s">
        <v>55</v>
      </c>
      <c r="E13" s="45" t="s">
        <v>59</v>
      </c>
      <c r="F13" s="48" t="s">
        <v>30</v>
      </c>
      <c r="G13" s="40" t="s">
        <v>38</v>
      </c>
      <c r="H13" s="40">
        <v>3</v>
      </c>
      <c r="I13" s="27">
        <v>20</v>
      </c>
      <c r="J13" s="40">
        <v>3</v>
      </c>
      <c r="K13" s="27">
        <v>20</v>
      </c>
      <c r="L13" s="41">
        <f t="shared" si="0"/>
        <v>40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0">
        <v>4</v>
      </c>
      <c r="B14" s="40">
        <v>22</v>
      </c>
      <c r="C14" s="45" t="s">
        <v>182</v>
      </c>
      <c r="D14" s="40" t="s">
        <v>200</v>
      </c>
      <c r="E14" s="45" t="s">
        <v>36</v>
      </c>
      <c r="F14" s="48" t="s">
        <v>30</v>
      </c>
      <c r="G14" s="47" t="s">
        <v>40</v>
      </c>
      <c r="H14" s="40">
        <v>5</v>
      </c>
      <c r="I14" s="27">
        <v>16</v>
      </c>
      <c r="J14" s="40">
        <v>4</v>
      </c>
      <c r="K14" s="27">
        <v>18</v>
      </c>
      <c r="L14" s="41">
        <f t="shared" si="0"/>
        <v>34</v>
      </c>
    </row>
    <row r="15" spans="1:12" ht="15.75">
      <c r="A15" s="50">
        <v>5</v>
      </c>
      <c r="B15" s="40">
        <v>61</v>
      </c>
      <c r="C15" s="45" t="s">
        <v>99</v>
      </c>
      <c r="D15" s="40" t="s">
        <v>31</v>
      </c>
      <c r="E15" s="45" t="s">
        <v>35</v>
      </c>
      <c r="F15" s="48" t="s">
        <v>30</v>
      </c>
      <c r="G15" s="40" t="s">
        <v>38</v>
      </c>
      <c r="H15" s="40">
        <v>4</v>
      </c>
      <c r="I15" s="27">
        <v>18</v>
      </c>
      <c r="J15" s="40">
        <v>6</v>
      </c>
      <c r="K15" s="27">
        <v>15</v>
      </c>
      <c r="L15" s="41">
        <f t="shared" si="0"/>
        <v>33</v>
      </c>
    </row>
    <row r="16" spans="1:256" s="3" customFormat="1" ht="14.25" customHeight="1">
      <c r="A16" s="50">
        <v>6</v>
      </c>
      <c r="B16" s="40">
        <v>11</v>
      </c>
      <c r="C16" s="45" t="s">
        <v>186</v>
      </c>
      <c r="D16" s="40" t="s">
        <v>31</v>
      </c>
      <c r="E16" s="45" t="s">
        <v>37</v>
      </c>
      <c r="F16" s="48" t="s">
        <v>30</v>
      </c>
      <c r="G16" s="47" t="s">
        <v>40</v>
      </c>
      <c r="H16" s="40">
        <v>8</v>
      </c>
      <c r="I16" s="27">
        <v>13</v>
      </c>
      <c r="J16" s="40">
        <v>5</v>
      </c>
      <c r="K16" s="27">
        <v>16</v>
      </c>
      <c r="L16" s="41">
        <f t="shared" si="0"/>
        <v>29</v>
      </c>
      <c r="M16" s="39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0">
        <v>7</v>
      </c>
      <c r="B17" s="40">
        <v>19</v>
      </c>
      <c r="C17" s="45" t="s">
        <v>183</v>
      </c>
      <c r="D17" s="40" t="s">
        <v>31</v>
      </c>
      <c r="E17" s="45" t="s">
        <v>36</v>
      </c>
      <c r="F17" s="48" t="s">
        <v>30</v>
      </c>
      <c r="G17" s="47" t="s">
        <v>40</v>
      </c>
      <c r="H17" s="40">
        <v>7</v>
      </c>
      <c r="I17" s="27">
        <v>14</v>
      </c>
      <c r="J17" s="40">
        <v>7</v>
      </c>
      <c r="K17" s="27">
        <v>14</v>
      </c>
      <c r="L17" s="41">
        <f t="shared" si="0"/>
        <v>28</v>
      </c>
      <c r="M17" s="39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0">
        <v>8</v>
      </c>
      <c r="B18" s="40">
        <v>13</v>
      </c>
      <c r="C18" s="45" t="s">
        <v>184</v>
      </c>
      <c r="D18" s="40" t="s">
        <v>31</v>
      </c>
      <c r="E18" s="45" t="s">
        <v>36</v>
      </c>
      <c r="F18" s="49" t="s">
        <v>30</v>
      </c>
      <c r="G18" s="47" t="s">
        <v>40</v>
      </c>
      <c r="H18" s="40">
        <v>6</v>
      </c>
      <c r="I18" s="27">
        <v>15</v>
      </c>
      <c r="J18" s="40">
        <v>9</v>
      </c>
      <c r="K18" s="27">
        <v>12</v>
      </c>
      <c r="L18" s="41">
        <f t="shared" si="0"/>
        <v>27</v>
      </c>
      <c r="M18" s="39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0">
        <v>9</v>
      </c>
      <c r="B19" s="40">
        <v>5</v>
      </c>
      <c r="C19" s="45" t="s">
        <v>175</v>
      </c>
      <c r="D19" s="40" t="s">
        <v>68</v>
      </c>
      <c r="E19" s="45" t="s">
        <v>36</v>
      </c>
      <c r="F19" s="48" t="s">
        <v>30</v>
      </c>
      <c r="G19" s="47" t="s">
        <v>41</v>
      </c>
      <c r="H19" s="40">
        <v>9</v>
      </c>
      <c r="I19" s="27">
        <v>12</v>
      </c>
      <c r="J19" s="40">
        <v>8</v>
      </c>
      <c r="K19" s="27">
        <v>13</v>
      </c>
      <c r="L19" s="41">
        <f t="shared" si="0"/>
        <v>25</v>
      </c>
      <c r="M19" s="39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0">
        <v>10</v>
      </c>
      <c r="B20" s="40">
        <v>28</v>
      </c>
      <c r="C20" s="45" t="s">
        <v>187</v>
      </c>
      <c r="D20" s="40" t="s">
        <v>31</v>
      </c>
      <c r="E20" s="45" t="s">
        <v>35</v>
      </c>
      <c r="F20" s="48" t="s">
        <v>30</v>
      </c>
      <c r="G20" s="47" t="s">
        <v>40</v>
      </c>
      <c r="H20" s="40">
        <v>12</v>
      </c>
      <c r="I20" s="27">
        <v>9</v>
      </c>
      <c r="J20" s="40">
        <v>10</v>
      </c>
      <c r="K20" s="27">
        <v>11</v>
      </c>
      <c r="L20" s="41">
        <f t="shared" si="0"/>
        <v>20</v>
      </c>
      <c r="M20" s="39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50">
        <v>11</v>
      </c>
      <c r="B21" s="40">
        <v>55</v>
      </c>
      <c r="C21" s="45" t="s">
        <v>185</v>
      </c>
      <c r="D21" s="40" t="s">
        <v>31</v>
      </c>
      <c r="E21" s="45" t="s">
        <v>36</v>
      </c>
      <c r="F21" s="48" t="s">
        <v>30</v>
      </c>
      <c r="G21" s="47" t="s">
        <v>40</v>
      </c>
      <c r="H21" s="40">
        <v>10</v>
      </c>
      <c r="I21" s="27">
        <v>11</v>
      </c>
      <c r="J21" s="40">
        <v>12</v>
      </c>
      <c r="K21" s="27">
        <v>9</v>
      </c>
      <c r="L21" s="41">
        <f t="shared" si="0"/>
        <v>20</v>
      </c>
    </row>
    <row r="22" spans="1:12" ht="15.75">
      <c r="A22" s="50">
        <v>12</v>
      </c>
      <c r="B22" s="40">
        <v>500</v>
      </c>
      <c r="C22" s="46" t="s">
        <v>146</v>
      </c>
      <c r="D22" s="40" t="s">
        <v>31</v>
      </c>
      <c r="E22" s="45" t="s">
        <v>147</v>
      </c>
      <c r="F22" s="48" t="s">
        <v>30</v>
      </c>
      <c r="G22" s="40" t="s">
        <v>40</v>
      </c>
      <c r="H22" s="40">
        <v>11</v>
      </c>
      <c r="I22" s="27">
        <v>10</v>
      </c>
      <c r="J22" s="40">
        <v>11</v>
      </c>
      <c r="K22" s="27">
        <v>10</v>
      </c>
      <c r="L22" s="41">
        <f t="shared" si="0"/>
        <v>20</v>
      </c>
    </row>
    <row r="24" spans="2:13" ht="15.75">
      <c r="B24" s="33" t="s">
        <v>23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2"/>
    </row>
    <row r="25" spans="2:13" ht="15.75">
      <c r="B25" s="33" t="s">
        <v>133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15.75">
      <c r="B26" s="76" t="s">
        <v>44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32"/>
    </row>
    <row r="27" spans="2:13" ht="15.75">
      <c r="B27" s="33" t="s">
        <v>53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</sheetData>
  <sheetProtection formatCells="0" formatColumns="0" formatRows="0" insertColumns="0" insertRows="0" insertHyperlinks="0" deleteColumns="0" deleteRows="0" autoFilter="0" pivotTables="0"/>
  <mergeCells count="19">
    <mergeCell ref="F8:F10"/>
    <mergeCell ref="B26:L26"/>
    <mergeCell ref="C8:C10"/>
    <mergeCell ref="D8:D10"/>
    <mergeCell ref="H9:H10"/>
    <mergeCell ref="I9:I10"/>
    <mergeCell ref="J9:J10"/>
    <mergeCell ref="H8:I8"/>
    <mergeCell ref="L8:L10"/>
    <mergeCell ref="A8:A10"/>
    <mergeCell ref="A3:K3"/>
    <mergeCell ref="A4:K4"/>
    <mergeCell ref="A5:L5"/>
    <mergeCell ref="A6:L6"/>
    <mergeCell ref="E8:E10"/>
    <mergeCell ref="J8:K8"/>
    <mergeCell ref="K9:K10"/>
    <mergeCell ref="G8:G10"/>
    <mergeCell ref="B8:B10"/>
  </mergeCell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23"/>
  <sheetViews>
    <sheetView zoomScale="140" zoomScaleNormal="140" zoomScalePageLayoutView="0" workbookViewId="0" topLeftCell="A4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71" t="s">
        <v>201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0"/>
    </row>
    <row r="5" spans="1:12" ht="15.75" customHeight="1">
      <c r="A5" s="72" t="s">
        <v>211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49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4" t="s">
        <v>22</v>
      </c>
      <c r="B8" s="74" t="s">
        <v>0</v>
      </c>
      <c r="C8" s="74" t="s">
        <v>1</v>
      </c>
      <c r="D8" s="74" t="s">
        <v>28</v>
      </c>
      <c r="E8" s="74" t="s">
        <v>25</v>
      </c>
      <c r="F8" s="74" t="s">
        <v>26</v>
      </c>
      <c r="G8" s="74" t="s">
        <v>2</v>
      </c>
      <c r="H8" s="74" t="s">
        <v>3</v>
      </c>
      <c r="I8" s="82"/>
      <c r="J8" s="74" t="s">
        <v>4</v>
      </c>
      <c r="K8" s="82"/>
      <c r="L8" s="83" t="s">
        <v>29</v>
      </c>
    </row>
    <row r="9" spans="1:12" ht="12.75">
      <c r="A9" s="75"/>
      <c r="B9" s="74"/>
      <c r="C9" s="74"/>
      <c r="D9" s="75"/>
      <c r="E9" s="75"/>
      <c r="F9" s="74"/>
      <c r="G9" s="75"/>
      <c r="H9" s="74" t="s">
        <v>11</v>
      </c>
      <c r="I9" s="80" t="s">
        <v>24</v>
      </c>
      <c r="J9" s="74" t="s">
        <v>11</v>
      </c>
      <c r="K9" s="80" t="s">
        <v>24</v>
      </c>
      <c r="L9" s="83"/>
    </row>
    <row r="10" spans="1:12" ht="26.25" customHeight="1">
      <c r="A10" s="75"/>
      <c r="B10" s="74"/>
      <c r="C10" s="74"/>
      <c r="D10" s="75"/>
      <c r="E10" s="75"/>
      <c r="F10" s="74"/>
      <c r="G10" s="75"/>
      <c r="H10" s="75"/>
      <c r="I10" s="81"/>
      <c r="J10" s="75"/>
      <c r="K10" s="81"/>
      <c r="L10" s="83"/>
    </row>
    <row r="11" spans="1:12" ht="15.75">
      <c r="A11" s="50">
        <v>1</v>
      </c>
      <c r="B11" s="40">
        <v>159</v>
      </c>
      <c r="C11" s="46" t="s">
        <v>73</v>
      </c>
      <c r="D11" s="40">
        <v>1</v>
      </c>
      <c r="E11" s="45" t="s">
        <v>36</v>
      </c>
      <c r="F11" s="48" t="s">
        <v>30</v>
      </c>
      <c r="G11" s="40" t="s">
        <v>40</v>
      </c>
      <c r="H11" s="40">
        <v>1</v>
      </c>
      <c r="I11" s="27">
        <v>25</v>
      </c>
      <c r="J11" s="40">
        <v>1</v>
      </c>
      <c r="K11" s="27">
        <v>25</v>
      </c>
      <c r="L11" s="41">
        <f aca="true" t="shared" si="0" ref="L11:L16">I11+K11</f>
        <v>50</v>
      </c>
    </row>
    <row r="12" spans="1:256" s="3" customFormat="1" ht="14.25" customHeight="1">
      <c r="A12" s="50">
        <v>2</v>
      </c>
      <c r="B12" s="40">
        <v>1</v>
      </c>
      <c r="C12" s="45" t="s">
        <v>101</v>
      </c>
      <c r="D12" s="40" t="s">
        <v>31</v>
      </c>
      <c r="E12" s="45" t="s">
        <v>35</v>
      </c>
      <c r="F12" s="48" t="s">
        <v>30</v>
      </c>
      <c r="G12" s="47" t="s">
        <v>39</v>
      </c>
      <c r="H12" s="40">
        <v>2</v>
      </c>
      <c r="I12" s="27">
        <v>22</v>
      </c>
      <c r="J12" s="40">
        <v>2</v>
      </c>
      <c r="K12" s="27">
        <v>22</v>
      </c>
      <c r="L12" s="41">
        <f t="shared" si="0"/>
        <v>44</v>
      </c>
      <c r="M12" s="39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0">
        <v>3</v>
      </c>
      <c r="B13" s="40">
        <v>114</v>
      </c>
      <c r="C13" s="45" t="s">
        <v>138</v>
      </c>
      <c r="D13" s="40" t="s">
        <v>31</v>
      </c>
      <c r="E13" s="45" t="s">
        <v>145</v>
      </c>
      <c r="F13" s="48" t="s">
        <v>30</v>
      </c>
      <c r="G13" s="47" t="s">
        <v>42</v>
      </c>
      <c r="H13" s="40">
        <v>3</v>
      </c>
      <c r="I13" s="27">
        <v>20</v>
      </c>
      <c r="J13" s="40">
        <v>3</v>
      </c>
      <c r="K13" s="27">
        <v>20</v>
      </c>
      <c r="L13" s="41">
        <f t="shared" si="0"/>
        <v>40</v>
      </c>
    </row>
    <row r="14" spans="1:12" ht="15.75">
      <c r="A14" s="50">
        <v>4</v>
      </c>
      <c r="B14" s="40">
        <v>67</v>
      </c>
      <c r="C14" s="45" t="s">
        <v>120</v>
      </c>
      <c r="D14" s="40" t="s">
        <v>68</v>
      </c>
      <c r="E14" s="45" t="s">
        <v>36</v>
      </c>
      <c r="F14" s="48" t="s">
        <v>30</v>
      </c>
      <c r="G14" s="47" t="s">
        <v>39</v>
      </c>
      <c r="H14" s="40">
        <v>4</v>
      </c>
      <c r="I14" s="27">
        <v>18</v>
      </c>
      <c r="J14" s="40">
        <v>4</v>
      </c>
      <c r="K14" s="27">
        <v>18</v>
      </c>
      <c r="L14" s="41">
        <f t="shared" si="0"/>
        <v>36</v>
      </c>
    </row>
    <row r="15" spans="1:12" ht="15.75">
      <c r="A15" s="50">
        <v>5</v>
      </c>
      <c r="B15" s="40">
        <v>70</v>
      </c>
      <c r="C15" s="45" t="s">
        <v>102</v>
      </c>
      <c r="D15" s="40" t="s">
        <v>31</v>
      </c>
      <c r="E15" s="45" t="s">
        <v>36</v>
      </c>
      <c r="F15" s="48" t="s">
        <v>30</v>
      </c>
      <c r="G15" s="47" t="s">
        <v>39</v>
      </c>
      <c r="H15" s="40">
        <v>5</v>
      </c>
      <c r="I15" s="27">
        <v>16</v>
      </c>
      <c r="J15" s="40">
        <v>5</v>
      </c>
      <c r="K15" s="27">
        <v>16</v>
      </c>
      <c r="L15" s="41">
        <f t="shared" si="0"/>
        <v>32</v>
      </c>
    </row>
    <row r="16" spans="1:256" s="3" customFormat="1" ht="15.75" customHeight="1">
      <c r="A16" s="50">
        <v>6</v>
      </c>
      <c r="B16" s="40">
        <v>91</v>
      </c>
      <c r="C16" s="46" t="s">
        <v>148</v>
      </c>
      <c r="D16" s="40" t="s">
        <v>31</v>
      </c>
      <c r="E16" s="45" t="s">
        <v>149</v>
      </c>
      <c r="F16" s="48" t="s">
        <v>30</v>
      </c>
      <c r="G16" s="40" t="s">
        <v>38</v>
      </c>
      <c r="H16" s="40">
        <v>6</v>
      </c>
      <c r="I16" s="27">
        <v>15</v>
      </c>
      <c r="J16" s="40">
        <v>6</v>
      </c>
      <c r="K16" s="27">
        <v>15</v>
      </c>
      <c r="L16" s="41">
        <f t="shared" si="0"/>
        <v>30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0">
        <v>7</v>
      </c>
      <c r="B17" s="40"/>
      <c r="C17" s="45"/>
      <c r="D17" s="40"/>
      <c r="E17" s="45"/>
      <c r="F17" s="48"/>
      <c r="G17" s="47"/>
      <c r="H17" s="40"/>
      <c r="I17" s="27"/>
      <c r="J17" s="40"/>
      <c r="K17" s="27"/>
      <c r="L17" s="41"/>
    </row>
    <row r="18" spans="14:152" ht="12.75">
      <c r="N18" s="1"/>
      <c r="DT18"/>
      <c r="DU18"/>
      <c r="DV18"/>
      <c r="DX18" s="1"/>
      <c r="DY18" s="1"/>
      <c r="DZ18" s="1"/>
      <c r="EN18" s="2"/>
      <c r="EO18" s="2"/>
      <c r="EP18" s="2"/>
      <c r="EQ18" s="2"/>
      <c r="ES18" s="1"/>
      <c r="ET18" s="1"/>
      <c r="EU18" s="1"/>
      <c r="EV18" s="1"/>
    </row>
    <row r="19" spans="3:14" ht="15.75">
      <c r="C19" s="76" t="s">
        <v>23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32"/>
    </row>
    <row r="20" spans="3:14" ht="15.75">
      <c r="C20" s="76" t="s">
        <v>133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3:14" ht="15.75">
      <c r="C21" s="33"/>
      <c r="D21" s="33"/>
      <c r="E21" s="33"/>
      <c r="F21" s="33"/>
      <c r="G21" s="33"/>
      <c r="H21" s="33"/>
      <c r="I21" s="34"/>
      <c r="J21" s="33"/>
      <c r="K21" s="33"/>
      <c r="L21" s="33"/>
      <c r="M21" s="33"/>
      <c r="N21" s="32"/>
    </row>
    <row r="22" spans="3:14" ht="15.75">
      <c r="C22" s="76" t="s">
        <v>44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32"/>
    </row>
    <row r="23" spans="3:14" ht="15.75">
      <c r="C23" s="76" t="s">
        <v>53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19:M19"/>
    <mergeCell ref="C20:N20"/>
    <mergeCell ref="C8:C10"/>
    <mergeCell ref="D8:D10"/>
    <mergeCell ref="C22:M22"/>
    <mergeCell ref="C23:N23"/>
  </mergeCell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23"/>
  <sheetViews>
    <sheetView zoomScale="140" zoomScaleNormal="140" zoomScalePageLayoutView="0" workbookViewId="0" topLeftCell="A4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71" t="s">
        <v>201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9"/>
    </row>
    <row r="4" spans="1:12" ht="15.75" customHeight="1">
      <c r="A4" s="71" t="s">
        <v>27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30"/>
    </row>
    <row r="5" spans="1:12" ht="15.75" customHeight="1">
      <c r="A5" s="72" t="s">
        <v>211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5.75">
      <c r="A6" s="73" t="s">
        <v>54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4" t="s">
        <v>22</v>
      </c>
      <c r="B8" s="74" t="s">
        <v>0</v>
      </c>
      <c r="C8" s="74" t="s">
        <v>1</v>
      </c>
      <c r="D8" s="74" t="s">
        <v>28</v>
      </c>
      <c r="E8" s="74" t="s">
        <v>25</v>
      </c>
      <c r="F8" s="74" t="s">
        <v>26</v>
      </c>
      <c r="G8" s="74" t="s">
        <v>2</v>
      </c>
      <c r="H8" s="74" t="s">
        <v>3</v>
      </c>
      <c r="I8" s="82"/>
      <c r="J8" s="74" t="s">
        <v>4</v>
      </c>
      <c r="K8" s="82"/>
      <c r="L8" s="83" t="s">
        <v>29</v>
      </c>
    </row>
    <row r="9" spans="1:12" ht="12.75">
      <c r="A9" s="75"/>
      <c r="B9" s="74"/>
      <c r="C9" s="74"/>
      <c r="D9" s="75"/>
      <c r="E9" s="75"/>
      <c r="F9" s="74"/>
      <c r="G9" s="75"/>
      <c r="H9" s="74" t="s">
        <v>11</v>
      </c>
      <c r="I9" s="80" t="s">
        <v>24</v>
      </c>
      <c r="J9" s="74" t="s">
        <v>11</v>
      </c>
      <c r="K9" s="80" t="s">
        <v>24</v>
      </c>
      <c r="L9" s="83"/>
    </row>
    <row r="10" spans="1:12" ht="27" customHeight="1">
      <c r="A10" s="75"/>
      <c r="B10" s="74"/>
      <c r="C10" s="74"/>
      <c r="D10" s="75"/>
      <c r="E10" s="75"/>
      <c r="F10" s="74"/>
      <c r="G10" s="75"/>
      <c r="H10" s="75"/>
      <c r="I10" s="81"/>
      <c r="J10" s="75"/>
      <c r="K10" s="81"/>
      <c r="L10" s="83"/>
    </row>
    <row r="11" spans="1:12" ht="15.75">
      <c r="A11" s="50">
        <v>1</v>
      </c>
      <c r="B11" s="40">
        <v>77</v>
      </c>
      <c r="C11" s="45" t="s">
        <v>103</v>
      </c>
      <c r="D11" s="40">
        <v>1</v>
      </c>
      <c r="E11" s="45" t="s">
        <v>37</v>
      </c>
      <c r="F11" s="48" t="s">
        <v>30</v>
      </c>
      <c r="G11" s="47" t="s">
        <v>41</v>
      </c>
      <c r="H11" s="40">
        <v>2</v>
      </c>
      <c r="I11" s="27">
        <v>22</v>
      </c>
      <c r="J11" s="40">
        <v>1</v>
      </c>
      <c r="K11" s="27">
        <v>25</v>
      </c>
      <c r="L11" s="41">
        <f aca="true" t="shared" si="0" ref="L11:L17">I11+K11</f>
        <v>47</v>
      </c>
    </row>
    <row r="12" spans="1:256" s="3" customFormat="1" ht="15.75" customHeight="1">
      <c r="A12" s="50">
        <v>2</v>
      </c>
      <c r="B12" s="40">
        <v>1</v>
      </c>
      <c r="C12" s="45" t="s">
        <v>72</v>
      </c>
      <c r="D12" s="40" t="s">
        <v>32</v>
      </c>
      <c r="E12" s="45" t="s">
        <v>45</v>
      </c>
      <c r="F12" s="48" t="s">
        <v>30</v>
      </c>
      <c r="G12" s="47" t="s">
        <v>39</v>
      </c>
      <c r="H12" s="40">
        <v>1</v>
      </c>
      <c r="I12" s="27">
        <v>25</v>
      </c>
      <c r="J12" s="40">
        <v>2</v>
      </c>
      <c r="K12" s="27">
        <v>22</v>
      </c>
      <c r="L12" s="41">
        <f t="shared" si="0"/>
        <v>47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0">
        <v>3</v>
      </c>
      <c r="B13" s="51">
        <v>8</v>
      </c>
      <c r="C13" s="57" t="s">
        <v>150</v>
      </c>
      <c r="D13" s="51" t="s">
        <v>31</v>
      </c>
      <c r="E13" s="57" t="s">
        <v>35</v>
      </c>
      <c r="F13" s="48" t="s">
        <v>30</v>
      </c>
      <c r="G13" s="47" t="s">
        <v>39</v>
      </c>
      <c r="H13" s="40">
        <v>4</v>
      </c>
      <c r="I13" s="27">
        <v>18</v>
      </c>
      <c r="J13" s="40">
        <v>3</v>
      </c>
      <c r="K13" s="27">
        <v>20</v>
      </c>
      <c r="L13" s="41">
        <f t="shared" si="0"/>
        <v>38</v>
      </c>
    </row>
    <row r="14" spans="1:12" ht="15.75">
      <c r="A14" s="50">
        <v>4</v>
      </c>
      <c r="B14" s="40">
        <v>94</v>
      </c>
      <c r="C14" s="45" t="s">
        <v>46</v>
      </c>
      <c r="D14" s="40">
        <v>1</v>
      </c>
      <c r="E14" s="45" t="s">
        <v>36</v>
      </c>
      <c r="F14" s="48" t="s">
        <v>30</v>
      </c>
      <c r="G14" s="47" t="s">
        <v>39</v>
      </c>
      <c r="H14" s="40">
        <v>3</v>
      </c>
      <c r="I14" s="27">
        <v>20</v>
      </c>
      <c r="J14" s="40">
        <v>6</v>
      </c>
      <c r="K14" s="27">
        <v>15</v>
      </c>
      <c r="L14" s="41">
        <f t="shared" si="0"/>
        <v>35</v>
      </c>
    </row>
    <row r="15" spans="1:256" s="3" customFormat="1" ht="15.75" customHeight="1">
      <c r="A15" s="50">
        <v>5</v>
      </c>
      <c r="B15" s="40">
        <v>11</v>
      </c>
      <c r="C15" s="46" t="s">
        <v>176</v>
      </c>
      <c r="D15" s="40" t="s">
        <v>55</v>
      </c>
      <c r="E15" s="45" t="s">
        <v>36</v>
      </c>
      <c r="F15" s="48" t="s">
        <v>30</v>
      </c>
      <c r="G15" s="47" t="s">
        <v>41</v>
      </c>
      <c r="H15" s="40">
        <v>5</v>
      </c>
      <c r="I15" s="27">
        <v>16</v>
      </c>
      <c r="J15" s="40">
        <v>4</v>
      </c>
      <c r="K15" s="27">
        <v>18</v>
      </c>
      <c r="L15" s="41">
        <f t="shared" si="0"/>
        <v>34</v>
      </c>
      <c r="M15" s="39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0">
        <v>6</v>
      </c>
      <c r="B16" s="40">
        <v>30</v>
      </c>
      <c r="C16" s="46" t="s">
        <v>177</v>
      </c>
      <c r="D16" s="40" t="s">
        <v>31</v>
      </c>
      <c r="E16" s="45" t="s">
        <v>36</v>
      </c>
      <c r="F16" s="48" t="s">
        <v>30</v>
      </c>
      <c r="G16" s="47" t="s">
        <v>41</v>
      </c>
      <c r="H16" s="40">
        <v>6</v>
      </c>
      <c r="I16" s="27">
        <v>15</v>
      </c>
      <c r="J16" s="40">
        <v>5</v>
      </c>
      <c r="K16" s="27">
        <v>16</v>
      </c>
      <c r="L16" s="41">
        <f t="shared" si="0"/>
        <v>31</v>
      </c>
    </row>
    <row r="17" spans="1:256" s="3" customFormat="1" ht="15.75" customHeight="1">
      <c r="A17" s="50">
        <v>7</v>
      </c>
      <c r="B17" s="40">
        <v>18</v>
      </c>
      <c r="C17" s="45" t="s">
        <v>151</v>
      </c>
      <c r="D17" s="40" t="s">
        <v>31</v>
      </c>
      <c r="E17" s="45" t="s">
        <v>45</v>
      </c>
      <c r="F17" s="48" t="s">
        <v>30</v>
      </c>
      <c r="G17" s="40" t="s">
        <v>38</v>
      </c>
      <c r="H17" s="40" t="s">
        <v>70</v>
      </c>
      <c r="I17" s="27">
        <v>0</v>
      </c>
      <c r="J17" s="40" t="s">
        <v>71</v>
      </c>
      <c r="K17" s="27">
        <v>0</v>
      </c>
      <c r="L17" s="41">
        <f t="shared" si="0"/>
        <v>0</v>
      </c>
      <c r="M17" s="39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ht="15.75">
      <c r="H18" s="33"/>
    </row>
    <row r="19" spans="2:8" ht="15.75">
      <c r="B19" s="33" t="s">
        <v>23</v>
      </c>
      <c r="C19" s="33"/>
      <c r="D19" s="33"/>
      <c r="E19" s="33"/>
      <c r="F19" s="33"/>
      <c r="G19" s="33"/>
      <c r="H19" s="33"/>
    </row>
    <row r="20" spans="2:8" ht="15.75">
      <c r="B20" s="33" t="s">
        <v>53</v>
      </c>
      <c r="D20" s="33" t="s">
        <v>128</v>
      </c>
      <c r="E20" s="33" t="s">
        <v>127</v>
      </c>
      <c r="F20" s="33" t="s">
        <v>126</v>
      </c>
      <c r="G20" s="33"/>
      <c r="H20" s="34"/>
    </row>
    <row r="21" spans="2:8" ht="15.75">
      <c r="B21" s="33"/>
      <c r="C21" s="33"/>
      <c r="D21" s="33"/>
      <c r="E21" s="33"/>
      <c r="F21" s="33"/>
      <c r="G21" s="33"/>
      <c r="H21" s="33"/>
    </row>
    <row r="22" spans="2:8" ht="15.75">
      <c r="B22" s="33" t="s">
        <v>44</v>
      </c>
      <c r="C22" s="33"/>
      <c r="D22" s="33"/>
      <c r="E22" s="33"/>
      <c r="F22" s="33"/>
      <c r="G22" s="33"/>
      <c r="H22" s="33"/>
    </row>
    <row r="23" spans="2:7" ht="15.75">
      <c r="B23" s="33" t="s">
        <v>129</v>
      </c>
      <c r="G23" s="33"/>
    </row>
  </sheetData>
  <sheetProtection formatCells="0" formatColumns="0" formatRows="0" insertColumns="0" insertRows="0" insertHyperlinks="0" deleteColumns="0" deleteRows="0" autoFilter="0" pivotTables="0"/>
  <mergeCells count="18">
    <mergeCell ref="C8:C10"/>
    <mergeCell ref="D8:D10"/>
    <mergeCell ref="J9:J10"/>
    <mergeCell ref="K9:K10"/>
    <mergeCell ref="E8:E10"/>
    <mergeCell ref="F8:F10"/>
    <mergeCell ref="H9:H10"/>
    <mergeCell ref="I9:I10"/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</mergeCell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20"/>
  <sheetViews>
    <sheetView zoomScale="140" zoomScaleNormal="140" zoomScalePageLayoutView="0" workbookViewId="0" topLeftCell="A1">
      <selection activeCell="A4" sqref="A4:L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69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71" t="s">
        <v>201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  <c r="M2" s="70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  <c r="M3" s="70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72" t="s">
        <v>211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0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73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4" t="s">
        <v>22</v>
      </c>
      <c r="B7" s="74" t="s">
        <v>0</v>
      </c>
      <c r="C7" s="74" t="s">
        <v>1</v>
      </c>
      <c r="D7" s="74" t="s">
        <v>28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29</v>
      </c>
      <c r="M7" s="77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  <c r="M8" s="78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  <c r="M9" s="79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0">
        <v>1</v>
      </c>
      <c r="B10" s="58">
        <v>38</v>
      </c>
      <c r="C10" s="64" t="s">
        <v>190</v>
      </c>
      <c r="D10" s="58" t="s">
        <v>32</v>
      </c>
      <c r="E10" s="59" t="s">
        <v>43</v>
      </c>
      <c r="F10" s="48" t="s">
        <v>30</v>
      </c>
      <c r="G10" s="61" t="s">
        <v>38</v>
      </c>
      <c r="H10" s="66">
        <v>1</v>
      </c>
      <c r="I10" s="67">
        <v>25</v>
      </c>
      <c r="J10" s="66">
        <v>1</v>
      </c>
      <c r="K10" s="67">
        <v>25</v>
      </c>
      <c r="L10" s="63">
        <f aca="true" t="shared" si="0" ref="L10:L15">I10+K10</f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0">
        <v>2</v>
      </c>
      <c r="B11" s="40">
        <v>1</v>
      </c>
      <c r="C11" s="45" t="s">
        <v>33</v>
      </c>
      <c r="D11" s="40" t="s">
        <v>34</v>
      </c>
      <c r="E11" s="45" t="s">
        <v>43</v>
      </c>
      <c r="F11" s="48" t="s">
        <v>30</v>
      </c>
      <c r="G11" s="47" t="s">
        <v>40</v>
      </c>
      <c r="H11" s="40">
        <v>2</v>
      </c>
      <c r="I11" s="27">
        <v>22</v>
      </c>
      <c r="J11" s="40">
        <v>2</v>
      </c>
      <c r="K11" s="27">
        <v>22</v>
      </c>
      <c r="L11" s="41">
        <f t="shared" si="0"/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0">
        <v>3</v>
      </c>
      <c r="B12" s="58">
        <v>71</v>
      </c>
      <c r="C12" s="64" t="s">
        <v>188</v>
      </c>
      <c r="D12" s="58" t="s">
        <v>31</v>
      </c>
      <c r="E12" s="59" t="s">
        <v>37</v>
      </c>
      <c r="F12" s="65" t="s">
        <v>30</v>
      </c>
      <c r="G12" s="58" t="s">
        <v>40</v>
      </c>
      <c r="H12" s="58">
        <v>3</v>
      </c>
      <c r="I12" s="62">
        <v>20</v>
      </c>
      <c r="J12" s="58">
        <v>3</v>
      </c>
      <c r="K12" s="62">
        <v>20</v>
      </c>
      <c r="L12" s="63">
        <f t="shared" si="0"/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0">
        <v>4</v>
      </c>
      <c r="B13" s="58">
        <v>36</v>
      </c>
      <c r="C13" s="64" t="s">
        <v>189</v>
      </c>
      <c r="D13" s="58" t="s">
        <v>31</v>
      </c>
      <c r="E13" s="59" t="s">
        <v>145</v>
      </c>
      <c r="F13" s="65" t="s">
        <v>30</v>
      </c>
      <c r="G13" s="61" t="s">
        <v>38</v>
      </c>
      <c r="H13" s="66">
        <v>4</v>
      </c>
      <c r="I13" s="67">
        <v>18</v>
      </c>
      <c r="J13" s="66">
        <v>4</v>
      </c>
      <c r="K13" s="67">
        <v>18</v>
      </c>
      <c r="L13" s="63">
        <f t="shared" si="0"/>
        <v>36</v>
      </c>
      <c r="M13" s="39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0">
        <v>5</v>
      </c>
      <c r="B14" s="40">
        <v>23</v>
      </c>
      <c r="C14" s="46" t="s">
        <v>172</v>
      </c>
      <c r="D14" s="40" t="s">
        <v>31</v>
      </c>
      <c r="E14" s="45" t="s">
        <v>36</v>
      </c>
      <c r="F14" s="48" t="s">
        <v>30</v>
      </c>
      <c r="G14" s="47" t="s">
        <v>38</v>
      </c>
      <c r="H14" s="37">
        <v>5</v>
      </c>
      <c r="I14" s="38">
        <v>16</v>
      </c>
      <c r="J14" s="37">
        <v>5</v>
      </c>
      <c r="K14" s="38">
        <v>16</v>
      </c>
      <c r="L14" s="41">
        <f t="shared" si="0"/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50">
        <v>6</v>
      </c>
      <c r="B15" s="40">
        <v>120</v>
      </c>
      <c r="C15" s="45" t="s">
        <v>108</v>
      </c>
      <c r="D15" s="40" t="s">
        <v>31</v>
      </c>
      <c r="E15" s="45" t="s">
        <v>152</v>
      </c>
      <c r="F15" s="48" t="s">
        <v>30</v>
      </c>
      <c r="G15" s="47" t="s">
        <v>42</v>
      </c>
      <c r="H15" s="40">
        <v>6</v>
      </c>
      <c r="I15" s="27">
        <v>15</v>
      </c>
      <c r="J15" s="40">
        <v>6</v>
      </c>
      <c r="K15" s="27">
        <v>15</v>
      </c>
      <c r="L15" s="41">
        <f t="shared" si="0"/>
        <v>30</v>
      </c>
    </row>
    <row r="16" spans="1:4" ht="15.75">
      <c r="A16" s="33" t="s">
        <v>23</v>
      </c>
      <c r="B16" s="33"/>
      <c r="C16" s="33"/>
      <c r="D16" s="33"/>
    </row>
    <row r="17" spans="1:6" ht="15.75">
      <c r="A17" s="33" t="s">
        <v>132</v>
      </c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 t="s">
        <v>44</v>
      </c>
      <c r="B19" s="33"/>
      <c r="C19" s="33"/>
      <c r="D19" s="33"/>
      <c r="E19" s="33"/>
      <c r="F19" s="33"/>
    </row>
    <row r="20" spans="1:6" ht="15.75">
      <c r="A20" s="33" t="s">
        <v>53</v>
      </c>
      <c r="B20" s="33"/>
      <c r="C20" s="33"/>
      <c r="D20" s="33"/>
      <c r="E20" s="33"/>
      <c r="F20" s="33"/>
    </row>
  </sheetData>
  <sheetProtection formatCells="0" formatColumns="0" formatRows="0" insertColumns="0" insertRows="0" insertHyperlinks="0" deleteColumns="0" deleteRows="0" autoFilter="0" pivotTables="0"/>
  <mergeCells count="20"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</mergeCells>
  <printOptions horizontalCentered="1"/>
  <pageMargins left="0.11811023622047245" right="0.11811023622047245" top="0.1968503937007874" bottom="0.1968503937007874" header="0.11811023622047245" footer="0.11811023622047245"/>
  <pageSetup fitToHeight="2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zoomScale="140" zoomScaleNormal="140" zoomScalePageLayoutView="0" workbookViewId="0" topLeftCell="A1">
      <selection activeCell="A4" sqref="A4:L4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71" t="s">
        <v>201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</row>
    <row r="3" spans="1:12" ht="1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</row>
    <row r="4" spans="1:12" ht="15.75" customHeight="1">
      <c r="A4" s="72" t="s">
        <v>211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" customHeight="1">
      <c r="A5" s="73" t="s">
        <v>162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74" t="s">
        <v>22</v>
      </c>
      <c r="B7" s="74" t="s">
        <v>0</v>
      </c>
      <c r="C7" s="74" t="s">
        <v>1</v>
      </c>
      <c r="D7" s="74" t="s">
        <v>28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29</v>
      </c>
    </row>
    <row r="8" spans="1:12" ht="12.75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</row>
    <row r="9" spans="1:12" ht="27.75" customHeigh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</row>
    <row r="10" spans="1:12" ht="15.75" customHeight="1">
      <c r="A10" s="50">
        <v>1</v>
      </c>
      <c r="B10" s="40">
        <v>41</v>
      </c>
      <c r="C10" s="45" t="s">
        <v>92</v>
      </c>
      <c r="D10" s="40">
        <v>1</v>
      </c>
      <c r="E10" s="45" t="s">
        <v>36</v>
      </c>
      <c r="F10" s="49" t="s">
        <v>30</v>
      </c>
      <c r="G10" s="40" t="s">
        <v>38</v>
      </c>
      <c r="H10" s="40">
        <v>1</v>
      </c>
      <c r="I10" s="27">
        <v>25</v>
      </c>
      <c r="J10" s="40">
        <v>1</v>
      </c>
      <c r="K10" s="27">
        <v>25</v>
      </c>
      <c r="L10" s="41">
        <f aca="true" t="shared" si="0" ref="L10:L19">I10+K10</f>
        <v>50</v>
      </c>
    </row>
    <row r="11" spans="1:12" ht="15.75" customHeight="1">
      <c r="A11" s="50">
        <v>2</v>
      </c>
      <c r="B11" s="40">
        <v>55</v>
      </c>
      <c r="C11" s="45" t="s">
        <v>52</v>
      </c>
      <c r="D11" s="40" t="s">
        <v>31</v>
      </c>
      <c r="E11" s="45" t="s">
        <v>35</v>
      </c>
      <c r="F11" s="49" t="s">
        <v>30</v>
      </c>
      <c r="G11" s="47" t="s">
        <v>40</v>
      </c>
      <c r="H11" s="40">
        <v>3</v>
      </c>
      <c r="I11" s="27">
        <v>20</v>
      </c>
      <c r="J11" s="40">
        <v>2</v>
      </c>
      <c r="K11" s="27">
        <v>22</v>
      </c>
      <c r="L11" s="41">
        <f t="shared" si="0"/>
        <v>42</v>
      </c>
    </row>
    <row r="12" spans="1:12" ht="15.75" customHeight="1">
      <c r="A12" s="50">
        <v>3</v>
      </c>
      <c r="B12" s="40">
        <v>77</v>
      </c>
      <c r="C12" s="45" t="s">
        <v>67</v>
      </c>
      <c r="D12" s="40" t="s">
        <v>31</v>
      </c>
      <c r="E12" s="45" t="s">
        <v>36</v>
      </c>
      <c r="F12" s="49" t="s">
        <v>30</v>
      </c>
      <c r="G12" s="47" t="s">
        <v>41</v>
      </c>
      <c r="H12" s="40">
        <v>2</v>
      </c>
      <c r="I12" s="27">
        <v>22</v>
      </c>
      <c r="J12" s="40">
        <v>3</v>
      </c>
      <c r="K12" s="27">
        <v>20</v>
      </c>
      <c r="L12" s="41">
        <f t="shared" si="0"/>
        <v>42</v>
      </c>
    </row>
    <row r="13" spans="1:12" ht="15.75" customHeight="1">
      <c r="A13" s="50">
        <v>4</v>
      </c>
      <c r="B13" s="40">
        <v>57</v>
      </c>
      <c r="C13" s="45" t="s">
        <v>51</v>
      </c>
      <c r="D13" s="40" t="s">
        <v>31</v>
      </c>
      <c r="E13" s="45" t="s">
        <v>36</v>
      </c>
      <c r="F13" s="49" t="s">
        <v>30</v>
      </c>
      <c r="G13" s="47" t="s">
        <v>42</v>
      </c>
      <c r="H13" s="40">
        <v>4</v>
      </c>
      <c r="I13" s="27">
        <v>18</v>
      </c>
      <c r="J13" s="40">
        <v>4</v>
      </c>
      <c r="K13" s="27">
        <v>18</v>
      </c>
      <c r="L13" s="41">
        <f t="shared" si="0"/>
        <v>36</v>
      </c>
    </row>
    <row r="14" spans="1:12" ht="15.75" customHeight="1">
      <c r="A14" s="50">
        <v>5</v>
      </c>
      <c r="B14" s="40">
        <v>62</v>
      </c>
      <c r="C14" s="45" t="s">
        <v>204</v>
      </c>
      <c r="D14" s="40" t="s">
        <v>31</v>
      </c>
      <c r="E14" s="45" t="s">
        <v>36</v>
      </c>
      <c r="F14" s="49" t="s">
        <v>30</v>
      </c>
      <c r="G14" s="47" t="s">
        <v>42</v>
      </c>
      <c r="H14" s="40">
        <v>5</v>
      </c>
      <c r="I14" s="27">
        <v>16</v>
      </c>
      <c r="J14" s="40">
        <v>5</v>
      </c>
      <c r="K14" s="27">
        <v>16</v>
      </c>
      <c r="L14" s="41">
        <f t="shared" si="0"/>
        <v>32</v>
      </c>
    </row>
    <row r="15" spans="1:12" ht="15.75" customHeight="1">
      <c r="A15" s="50">
        <v>6</v>
      </c>
      <c r="B15" s="40">
        <v>71</v>
      </c>
      <c r="C15" s="45" t="s">
        <v>208</v>
      </c>
      <c r="D15" s="40" t="s">
        <v>31</v>
      </c>
      <c r="E15" s="45" t="s">
        <v>36</v>
      </c>
      <c r="F15" s="49" t="s">
        <v>30</v>
      </c>
      <c r="G15" s="47" t="s">
        <v>39</v>
      </c>
      <c r="H15" s="40">
        <v>7</v>
      </c>
      <c r="I15" s="27">
        <v>14</v>
      </c>
      <c r="J15" s="40">
        <v>6</v>
      </c>
      <c r="K15" s="27">
        <v>15</v>
      </c>
      <c r="L15" s="41">
        <f t="shared" si="0"/>
        <v>29</v>
      </c>
    </row>
    <row r="16" spans="1:12" ht="15.75" customHeight="1">
      <c r="A16" s="50">
        <v>7</v>
      </c>
      <c r="B16" s="40">
        <v>69</v>
      </c>
      <c r="C16" s="45" t="s">
        <v>192</v>
      </c>
      <c r="D16" s="40" t="s">
        <v>31</v>
      </c>
      <c r="E16" s="45" t="s">
        <v>36</v>
      </c>
      <c r="F16" s="49" t="s">
        <v>30</v>
      </c>
      <c r="G16" s="47" t="s">
        <v>42</v>
      </c>
      <c r="H16" s="40">
        <v>6</v>
      </c>
      <c r="I16" s="27">
        <v>15</v>
      </c>
      <c r="J16" s="40">
        <v>7</v>
      </c>
      <c r="K16" s="27">
        <v>14</v>
      </c>
      <c r="L16" s="41">
        <f t="shared" si="0"/>
        <v>29</v>
      </c>
    </row>
    <row r="17" spans="1:12" ht="15.75" customHeight="1">
      <c r="A17" s="50">
        <v>8</v>
      </c>
      <c r="B17" s="40">
        <v>28</v>
      </c>
      <c r="C17" s="46" t="s">
        <v>168</v>
      </c>
      <c r="D17" s="40" t="s">
        <v>31</v>
      </c>
      <c r="E17" s="45" t="s">
        <v>35</v>
      </c>
      <c r="F17" s="49" t="s">
        <v>30</v>
      </c>
      <c r="G17" s="47" t="s">
        <v>39</v>
      </c>
      <c r="H17" s="40">
        <v>9</v>
      </c>
      <c r="I17" s="27">
        <v>12</v>
      </c>
      <c r="J17" s="40">
        <v>8</v>
      </c>
      <c r="K17" s="27">
        <v>13</v>
      </c>
      <c r="L17" s="41">
        <f t="shared" si="0"/>
        <v>25</v>
      </c>
    </row>
    <row r="18" spans="1:12" ht="15.75" customHeight="1">
      <c r="A18" s="50">
        <v>9</v>
      </c>
      <c r="B18" s="40">
        <v>60</v>
      </c>
      <c r="C18" s="45" t="s">
        <v>193</v>
      </c>
      <c r="D18" s="40" t="s">
        <v>31</v>
      </c>
      <c r="E18" s="45" t="s">
        <v>36</v>
      </c>
      <c r="F18" s="49" t="s">
        <v>30</v>
      </c>
      <c r="G18" s="47" t="s">
        <v>42</v>
      </c>
      <c r="H18" s="40">
        <v>8</v>
      </c>
      <c r="I18" s="27">
        <v>13</v>
      </c>
      <c r="J18" s="40">
        <v>9</v>
      </c>
      <c r="K18" s="27">
        <v>12</v>
      </c>
      <c r="L18" s="41">
        <f t="shared" si="0"/>
        <v>25</v>
      </c>
    </row>
    <row r="19" spans="1:12" ht="15.75" customHeight="1">
      <c r="A19" s="50">
        <v>10</v>
      </c>
      <c r="B19" s="40">
        <v>72</v>
      </c>
      <c r="C19" s="45" t="s">
        <v>191</v>
      </c>
      <c r="D19" s="40" t="s">
        <v>31</v>
      </c>
      <c r="E19" s="45" t="s">
        <v>36</v>
      </c>
      <c r="F19" s="49" t="s">
        <v>30</v>
      </c>
      <c r="G19" s="47" t="s">
        <v>39</v>
      </c>
      <c r="H19" s="40">
        <v>10</v>
      </c>
      <c r="I19" s="27">
        <v>11</v>
      </c>
      <c r="J19" s="40" t="s">
        <v>70</v>
      </c>
      <c r="K19" s="27">
        <v>0</v>
      </c>
      <c r="L19" s="41">
        <f t="shared" si="0"/>
        <v>11</v>
      </c>
    </row>
    <row r="20" ht="15.75">
      <c r="A20" s="50"/>
    </row>
    <row r="21" spans="1:5" ht="15.75">
      <c r="A21" s="50"/>
      <c r="E21" s="68" t="s">
        <v>210</v>
      </c>
    </row>
    <row r="22" ht="15.75">
      <c r="A22" s="50"/>
    </row>
    <row r="23" spans="1:12" ht="15.75">
      <c r="A23" s="50">
        <v>1</v>
      </c>
      <c r="B23" s="40">
        <v>42</v>
      </c>
      <c r="C23" s="45" t="s">
        <v>205</v>
      </c>
      <c r="D23" s="40" t="s">
        <v>34</v>
      </c>
      <c r="E23" s="45" t="s">
        <v>36</v>
      </c>
      <c r="F23" s="49" t="s">
        <v>30</v>
      </c>
      <c r="G23" s="47" t="s">
        <v>42</v>
      </c>
      <c r="H23" s="40">
        <v>1</v>
      </c>
      <c r="I23" s="27">
        <v>25</v>
      </c>
      <c r="J23" s="40">
        <v>1</v>
      </c>
      <c r="K23" s="27">
        <v>25</v>
      </c>
      <c r="L23" s="41">
        <f>I23+K23</f>
        <v>50</v>
      </c>
    </row>
    <row r="24" spans="1:12" ht="15.75">
      <c r="A24" s="50">
        <v>2</v>
      </c>
      <c r="B24" s="40">
        <v>46</v>
      </c>
      <c r="C24" s="45" t="s">
        <v>104</v>
      </c>
      <c r="D24" s="40" t="s">
        <v>31</v>
      </c>
      <c r="E24" s="45" t="s">
        <v>163</v>
      </c>
      <c r="F24" s="49" t="s">
        <v>30</v>
      </c>
      <c r="G24" s="40" t="s">
        <v>38</v>
      </c>
      <c r="H24" s="40">
        <v>3</v>
      </c>
      <c r="I24" s="27">
        <v>20</v>
      </c>
      <c r="J24" s="40">
        <v>2</v>
      </c>
      <c r="K24" s="27">
        <v>22</v>
      </c>
      <c r="L24" s="41">
        <f>I24+K24</f>
        <v>42</v>
      </c>
    </row>
    <row r="25" spans="1:12" ht="15.75">
      <c r="A25" s="50">
        <v>3</v>
      </c>
      <c r="B25" s="40">
        <v>87</v>
      </c>
      <c r="C25" s="45" t="s">
        <v>209</v>
      </c>
      <c r="D25" s="40" t="s">
        <v>31</v>
      </c>
      <c r="E25" s="45" t="s">
        <v>36</v>
      </c>
      <c r="F25" s="49" t="s">
        <v>30</v>
      </c>
      <c r="G25" s="47" t="s">
        <v>42</v>
      </c>
      <c r="H25" s="40">
        <v>2</v>
      </c>
      <c r="I25" s="27">
        <v>22</v>
      </c>
      <c r="J25" s="40">
        <v>3</v>
      </c>
      <c r="K25" s="27">
        <v>20</v>
      </c>
      <c r="L25" s="41">
        <f>I25+K25</f>
        <v>42</v>
      </c>
    </row>
    <row r="26" spans="1:12" ht="15.75">
      <c r="A26" s="50">
        <v>4</v>
      </c>
      <c r="B26" s="40">
        <v>49</v>
      </c>
      <c r="C26" s="45" t="s">
        <v>206</v>
      </c>
      <c r="D26" s="40" t="s">
        <v>31</v>
      </c>
      <c r="E26" s="45" t="s">
        <v>207</v>
      </c>
      <c r="F26" s="49" t="s">
        <v>30</v>
      </c>
      <c r="G26" s="47" t="s">
        <v>42</v>
      </c>
      <c r="H26" s="40" t="s">
        <v>70</v>
      </c>
      <c r="I26" s="27">
        <v>0</v>
      </c>
      <c r="J26" s="40">
        <v>4</v>
      </c>
      <c r="K26" s="27">
        <v>18</v>
      </c>
      <c r="L26" s="41">
        <f>I26+K26</f>
        <v>18</v>
      </c>
    </row>
    <row r="27" spans="2:13" ht="15.75">
      <c r="B27" s="33" t="s">
        <v>23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2"/>
    </row>
    <row r="28" spans="2:13" ht="15.75">
      <c r="B28" s="33" t="s">
        <v>131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2:13" ht="15.75">
      <c r="B29" s="33" t="s">
        <v>44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2"/>
    </row>
    <row r="30" spans="2:13" ht="15.75">
      <c r="B30" s="33" t="s">
        <v>53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sheetProtection/>
  <mergeCells count="18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G7:G9"/>
    <mergeCell ref="H7:I7"/>
    <mergeCell ref="J7:K7"/>
    <mergeCell ref="L7:L9"/>
    <mergeCell ref="H8:H9"/>
    <mergeCell ref="I8:I9"/>
    <mergeCell ref="J8:J9"/>
    <mergeCell ref="K8:K9"/>
  </mergeCell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3">
      <selection activeCell="K22" sqref="K22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25.57421875" style="0" customWidth="1"/>
    <col min="4" max="4" width="8.28125" style="0" customWidth="1"/>
    <col min="5" max="5" width="21.28125" style="0" customWidth="1"/>
    <col min="6" max="6" width="10.7109375" style="0" customWidth="1"/>
    <col min="7" max="7" width="6.7109375" style="0" customWidth="1"/>
    <col min="8" max="8" width="6.57421875" style="0" customWidth="1"/>
    <col min="9" max="9" width="6.7109375" style="0" customWidth="1"/>
    <col min="10" max="10" width="6.00390625" style="0" customWidth="1"/>
    <col min="11" max="11" width="10.57421875" style="0" customWidth="1"/>
  </cols>
  <sheetData>
    <row r="1" spans="1:11" ht="87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27.75" customHeight="1">
      <c r="A2" s="71" t="s">
        <v>166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</row>
    <row r="3" spans="1:12" ht="12.7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</row>
    <row r="4" spans="1:12" ht="18" customHeight="1">
      <c r="A4" s="72" t="s">
        <v>167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1" ht="12.75">
      <c r="A5" s="94" t="s">
        <v>69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ht="7.5" customHeight="1" thickBot="1"/>
    <row r="7" spans="1:11" ht="13.5" thickBot="1">
      <c r="A7" s="91" t="s">
        <v>22</v>
      </c>
      <c r="B7" s="91" t="s">
        <v>0</v>
      </c>
      <c r="C7" s="91" t="s">
        <v>1</v>
      </c>
      <c r="D7" s="91" t="s">
        <v>28</v>
      </c>
      <c r="E7" s="91" t="s">
        <v>25</v>
      </c>
      <c r="F7" s="91" t="s">
        <v>2</v>
      </c>
      <c r="G7" s="95" t="s">
        <v>3</v>
      </c>
      <c r="H7" s="96"/>
      <c r="I7" s="95" t="s">
        <v>4</v>
      </c>
      <c r="J7" s="96"/>
      <c r="K7" s="86" t="s">
        <v>29</v>
      </c>
    </row>
    <row r="8" spans="1:11" ht="12.75">
      <c r="A8" s="99"/>
      <c r="B8" s="92"/>
      <c r="C8" s="92"/>
      <c r="D8" s="92"/>
      <c r="E8" s="92"/>
      <c r="F8" s="92"/>
      <c r="G8" s="84" t="s">
        <v>11</v>
      </c>
      <c r="H8" s="89" t="s">
        <v>24</v>
      </c>
      <c r="I8" s="84" t="s">
        <v>11</v>
      </c>
      <c r="J8" s="89" t="s">
        <v>24</v>
      </c>
      <c r="K8" s="87"/>
    </row>
    <row r="9" spans="1:11" ht="21.75" customHeight="1" thickBot="1">
      <c r="A9" s="100"/>
      <c r="B9" s="93"/>
      <c r="C9" s="93"/>
      <c r="D9" s="93"/>
      <c r="E9" s="93"/>
      <c r="F9" s="93"/>
      <c r="G9" s="85"/>
      <c r="H9" s="90"/>
      <c r="I9" s="98"/>
      <c r="J9" s="97"/>
      <c r="K9" s="88"/>
    </row>
    <row r="10" spans="1:11" ht="15.75">
      <c r="A10" s="42">
        <v>1</v>
      </c>
      <c r="B10" s="40">
        <v>70</v>
      </c>
      <c r="C10" s="45" t="s">
        <v>105</v>
      </c>
      <c r="D10" s="40" t="s">
        <v>31</v>
      </c>
      <c r="E10" s="45" t="s">
        <v>111</v>
      </c>
      <c r="F10" s="47" t="s">
        <v>40</v>
      </c>
      <c r="G10" s="40">
        <v>1</v>
      </c>
      <c r="H10" s="27">
        <v>25</v>
      </c>
      <c r="I10" s="35">
        <v>1</v>
      </c>
      <c r="J10" s="36">
        <v>25</v>
      </c>
      <c r="K10" s="28">
        <f>H10+J10</f>
        <v>50</v>
      </c>
    </row>
    <row r="11" spans="1:11" ht="15.75">
      <c r="A11" s="42">
        <v>2</v>
      </c>
      <c r="B11" s="40">
        <v>71</v>
      </c>
      <c r="C11" s="45" t="s">
        <v>143</v>
      </c>
      <c r="D11" s="40" t="s">
        <v>31</v>
      </c>
      <c r="E11" s="45" t="s">
        <v>111</v>
      </c>
      <c r="F11" s="47" t="s">
        <v>39</v>
      </c>
      <c r="G11" s="40">
        <v>3</v>
      </c>
      <c r="H11" s="27">
        <v>20</v>
      </c>
      <c r="I11" s="35">
        <v>2</v>
      </c>
      <c r="J11" s="36">
        <v>22</v>
      </c>
      <c r="K11" s="28">
        <f aca="true" t="shared" si="0" ref="K11:K18">H11+J11</f>
        <v>42</v>
      </c>
    </row>
    <row r="12" spans="1:11" ht="15.75">
      <c r="A12" s="42">
        <v>3</v>
      </c>
      <c r="B12" s="40">
        <v>85</v>
      </c>
      <c r="C12" s="45" t="s">
        <v>91</v>
      </c>
      <c r="D12" s="40" t="s">
        <v>31</v>
      </c>
      <c r="E12" s="45" t="s">
        <v>154</v>
      </c>
      <c r="F12" s="47" t="s">
        <v>42</v>
      </c>
      <c r="G12" s="40">
        <v>2</v>
      </c>
      <c r="H12" s="27">
        <v>22</v>
      </c>
      <c r="I12" s="35">
        <v>3</v>
      </c>
      <c r="J12" s="36">
        <v>20</v>
      </c>
      <c r="K12" s="28">
        <f t="shared" si="0"/>
        <v>42</v>
      </c>
    </row>
    <row r="13" spans="1:11" ht="15.75">
      <c r="A13" s="42">
        <v>4</v>
      </c>
      <c r="B13" s="51">
        <v>3</v>
      </c>
      <c r="C13" s="57" t="s">
        <v>110</v>
      </c>
      <c r="D13" s="51" t="s">
        <v>31</v>
      </c>
      <c r="E13" s="57" t="s">
        <v>111</v>
      </c>
      <c r="F13" s="47" t="s">
        <v>39</v>
      </c>
      <c r="G13" s="40">
        <v>8</v>
      </c>
      <c r="H13" s="27">
        <v>13</v>
      </c>
      <c r="I13" s="35">
        <v>4</v>
      </c>
      <c r="J13" s="36">
        <v>18</v>
      </c>
      <c r="K13" s="28">
        <f t="shared" si="0"/>
        <v>31</v>
      </c>
    </row>
    <row r="14" spans="1:11" ht="15.75">
      <c r="A14" s="42">
        <v>5</v>
      </c>
      <c r="B14" s="40">
        <v>17</v>
      </c>
      <c r="C14" s="45" t="s">
        <v>153</v>
      </c>
      <c r="D14" s="40" t="s">
        <v>31</v>
      </c>
      <c r="E14" s="45" t="s">
        <v>111</v>
      </c>
      <c r="F14" s="47" t="s">
        <v>39</v>
      </c>
      <c r="G14" s="40">
        <v>7</v>
      </c>
      <c r="H14" s="27">
        <v>14</v>
      </c>
      <c r="I14" s="35">
        <v>5</v>
      </c>
      <c r="J14" s="36">
        <v>16</v>
      </c>
      <c r="K14" s="28">
        <f t="shared" si="0"/>
        <v>30</v>
      </c>
    </row>
    <row r="15" spans="1:11" ht="15.75" customHeight="1">
      <c r="A15" s="42">
        <v>6</v>
      </c>
      <c r="B15" s="40">
        <v>19</v>
      </c>
      <c r="C15" s="45" t="s">
        <v>97</v>
      </c>
      <c r="D15" s="40" t="s">
        <v>31</v>
      </c>
      <c r="E15" s="45" t="s">
        <v>98</v>
      </c>
      <c r="F15" s="47" t="s">
        <v>40</v>
      </c>
      <c r="G15" s="40">
        <v>5</v>
      </c>
      <c r="H15" s="27">
        <v>16</v>
      </c>
      <c r="I15" s="35">
        <v>7</v>
      </c>
      <c r="J15" s="36">
        <v>14</v>
      </c>
      <c r="K15" s="28">
        <f t="shared" si="0"/>
        <v>30</v>
      </c>
    </row>
    <row r="16" spans="1:11" ht="15.75">
      <c r="A16" s="42">
        <v>7</v>
      </c>
      <c r="B16" s="40">
        <v>196</v>
      </c>
      <c r="C16" s="45" t="s">
        <v>155</v>
      </c>
      <c r="D16" s="40" t="s">
        <v>31</v>
      </c>
      <c r="E16" s="45" t="s">
        <v>111</v>
      </c>
      <c r="F16" s="47" t="s">
        <v>39</v>
      </c>
      <c r="G16" s="40">
        <v>6</v>
      </c>
      <c r="H16" s="27">
        <v>15</v>
      </c>
      <c r="I16" s="35">
        <v>6</v>
      </c>
      <c r="J16" s="36">
        <v>15</v>
      </c>
      <c r="K16" s="28">
        <f t="shared" si="0"/>
        <v>30</v>
      </c>
    </row>
    <row r="17" spans="1:11" ht="15.75">
      <c r="A17" s="42">
        <v>8</v>
      </c>
      <c r="B17" s="40">
        <v>33</v>
      </c>
      <c r="C17" s="45" t="s">
        <v>164</v>
      </c>
      <c r="D17" s="40" t="s">
        <v>31</v>
      </c>
      <c r="E17" s="45" t="s">
        <v>47</v>
      </c>
      <c r="F17" s="47" t="s">
        <v>42</v>
      </c>
      <c r="G17" s="40">
        <v>4</v>
      </c>
      <c r="H17" s="27">
        <v>18</v>
      </c>
      <c r="I17" s="35" t="s">
        <v>71</v>
      </c>
      <c r="J17" s="36">
        <v>0</v>
      </c>
      <c r="K17" s="28">
        <f t="shared" si="0"/>
        <v>18</v>
      </c>
    </row>
    <row r="18" spans="1:11" ht="15.75" customHeight="1">
      <c r="A18" s="42">
        <v>9</v>
      </c>
      <c r="B18" s="40">
        <v>330</v>
      </c>
      <c r="C18" s="45" t="s">
        <v>165</v>
      </c>
      <c r="D18" s="40" t="s">
        <v>31</v>
      </c>
      <c r="E18" s="45" t="s">
        <v>76</v>
      </c>
      <c r="F18" s="47" t="s">
        <v>42</v>
      </c>
      <c r="G18" s="40">
        <v>9</v>
      </c>
      <c r="H18" s="27">
        <v>12</v>
      </c>
      <c r="I18" s="35" t="s">
        <v>71</v>
      </c>
      <c r="J18" s="36">
        <v>0</v>
      </c>
      <c r="K18" s="28">
        <f t="shared" si="0"/>
        <v>12</v>
      </c>
    </row>
    <row r="19" spans="1:11" ht="15.75">
      <c r="A19" s="42">
        <v>10</v>
      </c>
      <c r="B19" s="56"/>
      <c r="C19" s="56"/>
      <c r="D19" s="56"/>
      <c r="E19" s="56"/>
      <c r="F19" s="47"/>
      <c r="G19" s="40"/>
      <c r="H19" s="27"/>
      <c r="I19" s="35"/>
      <c r="J19" s="36"/>
      <c r="K19" s="28"/>
    </row>
    <row r="20" spans="1:11" ht="15.75">
      <c r="A20" s="42">
        <v>11</v>
      </c>
      <c r="B20" s="56"/>
      <c r="C20" s="56"/>
      <c r="D20" s="56"/>
      <c r="E20" s="56"/>
      <c r="F20" s="47"/>
      <c r="G20" s="40"/>
      <c r="H20" s="27"/>
      <c r="I20" s="35"/>
      <c r="J20" s="36"/>
      <c r="K20" s="28"/>
    </row>
    <row r="21" spans="1:11" ht="15.75">
      <c r="A21" s="42">
        <v>12</v>
      </c>
      <c r="B21" s="56"/>
      <c r="C21" s="56"/>
      <c r="D21" s="56"/>
      <c r="E21" s="56"/>
      <c r="F21" s="47"/>
      <c r="G21" s="40"/>
      <c r="H21" s="27"/>
      <c r="I21" s="35"/>
      <c r="J21" s="36"/>
      <c r="K21" s="28"/>
    </row>
    <row r="22" spans="1:11" ht="15.75">
      <c r="A22" s="42">
        <v>13</v>
      </c>
      <c r="B22" s="56"/>
      <c r="C22" s="56"/>
      <c r="D22" s="56"/>
      <c r="E22" s="56"/>
      <c r="F22" s="47"/>
      <c r="G22" s="40"/>
      <c r="H22" s="27"/>
      <c r="I22" s="52"/>
      <c r="J22" s="36"/>
      <c r="K22" s="28"/>
    </row>
    <row r="23" spans="1:11" ht="15.75">
      <c r="A23" s="42">
        <v>14</v>
      </c>
      <c r="B23" s="56"/>
      <c r="C23" s="56"/>
      <c r="D23" s="56"/>
      <c r="E23" s="56"/>
      <c r="F23" s="47"/>
      <c r="G23" s="40"/>
      <c r="H23" s="27"/>
      <c r="I23" s="35"/>
      <c r="J23" s="36"/>
      <c r="K23" s="28"/>
    </row>
    <row r="27" spans="1:11" ht="15.75">
      <c r="A27" s="76" t="s">
        <v>23</v>
      </c>
      <c r="B27" s="76"/>
      <c r="C27" s="76"/>
      <c r="D27" s="76"/>
      <c r="E27" s="76"/>
      <c r="F27" s="76"/>
      <c r="G27" s="76"/>
      <c r="H27" s="76"/>
      <c r="I27" s="76"/>
      <c r="J27" s="76"/>
      <c r="K27" s="32"/>
    </row>
    <row r="28" spans="1:11" ht="15.75">
      <c r="A28" s="76" t="s">
        <v>130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ht="15.75">
      <c r="A29" s="33"/>
      <c r="B29" s="33"/>
      <c r="C29" s="33"/>
      <c r="D29" s="33"/>
      <c r="E29" s="33"/>
      <c r="F29" s="34"/>
      <c r="G29" s="33"/>
      <c r="H29" s="33"/>
      <c r="I29" s="33"/>
      <c r="J29" s="33"/>
      <c r="K29" s="32"/>
    </row>
    <row r="30" spans="1:11" ht="15.75">
      <c r="A30" s="76" t="s">
        <v>44</v>
      </c>
      <c r="B30" s="76"/>
      <c r="C30" s="76"/>
      <c r="D30" s="76"/>
      <c r="E30" s="76"/>
      <c r="F30" s="76"/>
      <c r="G30" s="76"/>
      <c r="H30" s="76"/>
      <c r="I30" s="76"/>
      <c r="J30" s="76"/>
      <c r="K30" s="32"/>
    </row>
    <row r="31" spans="1:11" ht="15.75">
      <c r="A31" s="76" t="s">
        <v>53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41" spans="2:5" ht="15.75">
      <c r="B41" s="53">
        <v>850</v>
      </c>
      <c r="C41" s="55" t="s">
        <v>134</v>
      </c>
      <c r="D41" s="53" t="s">
        <v>31</v>
      </c>
      <c r="E41" s="55" t="s">
        <v>76</v>
      </c>
    </row>
    <row r="42" spans="2:5" ht="15.75">
      <c r="B42" s="53">
        <v>87</v>
      </c>
      <c r="C42" s="55" t="s">
        <v>114</v>
      </c>
      <c r="D42" s="53" t="s">
        <v>31</v>
      </c>
      <c r="E42" s="55" t="s">
        <v>47</v>
      </c>
    </row>
    <row r="43" spans="2:5" ht="15.75">
      <c r="B43" s="53">
        <v>220</v>
      </c>
      <c r="C43" s="55" t="s">
        <v>136</v>
      </c>
      <c r="D43" s="53" t="s">
        <v>31</v>
      </c>
      <c r="E43" s="55" t="s">
        <v>76</v>
      </c>
    </row>
    <row r="44" spans="2:5" ht="15.75">
      <c r="B44" s="53">
        <v>73</v>
      </c>
      <c r="C44" s="55" t="s">
        <v>85</v>
      </c>
      <c r="D44" s="53" t="s">
        <v>31</v>
      </c>
      <c r="E44" s="55" t="s">
        <v>86</v>
      </c>
    </row>
    <row r="45" spans="2:5" ht="15.75">
      <c r="B45" s="53">
        <v>99</v>
      </c>
      <c r="C45" s="55" t="s">
        <v>81</v>
      </c>
      <c r="D45" s="53" t="s">
        <v>31</v>
      </c>
      <c r="E45" s="55" t="s">
        <v>35</v>
      </c>
    </row>
    <row r="46" spans="2:5" ht="15.75">
      <c r="B46" s="53">
        <v>299</v>
      </c>
      <c r="C46" s="55" t="s">
        <v>137</v>
      </c>
      <c r="D46" s="53" t="s">
        <v>31</v>
      </c>
      <c r="E46" s="55" t="s">
        <v>47</v>
      </c>
    </row>
    <row r="47" spans="2:5" ht="15.75">
      <c r="B47" s="53">
        <v>22</v>
      </c>
      <c r="C47" s="54" t="s">
        <v>96</v>
      </c>
      <c r="D47" s="53" t="s">
        <v>31</v>
      </c>
      <c r="E47" s="55" t="s">
        <v>45</v>
      </c>
    </row>
    <row r="48" spans="2:5" ht="15.75">
      <c r="B48" s="53">
        <v>58</v>
      </c>
      <c r="C48" s="55" t="s">
        <v>79</v>
      </c>
      <c r="D48" s="53" t="s">
        <v>31</v>
      </c>
      <c r="E48" s="55" t="s">
        <v>47</v>
      </c>
    </row>
    <row r="49" spans="2:5" ht="15.75">
      <c r="B49" s="53">
        <v>545</v>
      </c>
      <c r="C49" s="55" t="s">
        <v>93</v>
      </c>
      <c r="D49" s="53" t="s">
        <v>31</v>
      </c>
      <c r="E49" s="55" t="s">
        <v>76</v>
      </c>
    </row>
    <row r="50" spans="2:5" ht="15.75">
      <c r="B50" s="53">
        <v>38</v>
      </c>
      <c r="C50" s="55" t="s">
        <v>78</v>
      </c>
      <c r="D50" s="53" t="s">
        <v>31</v>
      </c>
      <c r="E50" s="55" t="s">
        <v>75</v>
      </c>
    </row>
    <row r="51" spans="2:5" ht="15.75">
      <c r="B51" s="53">
        <v>13</v>
      </c>
      <c r="C51" s="55" t="s">
        <v>63</v>
      </c>
      <c r="D51" s="53" t="s">
        <v>31</v>
      </c>
      <c r="E51" s="55" t="s">
        <v>64</v>
      </c>
    </row>
    <row r="52" spans="2:5" ht="15.75">
      <c r="B52" s="53">
        <v>23</v>
      </c>
      <c r="C52" s="55" t="s">
        <v>80</v>
      </c>
      <c r="D52" s="53" t="s">
        <v>31</v>
      </c>
      <c r="E52" s="55" t="s">
        <v>76</v>
      </c>
    </row>
    <row r="53" spans="2:5" ht="15.75">
      <c r="B53" s="53">
        <v>37</v>
      </c>
      <c r="C53" s="54" t="s">
        <v>65</v>
      </c>
      <c r="D53" s="53" t="s">
        <v>31</v>
      </c>
      <c r="E53" s="55" t="s">
        <v>66</v>
      </c>
    </row>
    <row r="54" spans="2:5" ht="15.75">
      <c r="B54" s="53">
        <v>99</v>
      </c>
      <c r="C54" s="55" t="s">
        <v>87</v>
      </c>
      <c r="D54" s="53" t="s">
        <v>31</v>
      </c>
      <c r="E54" s="55" t="s">
        <v>47</v>
      </c>
    </row>
    <row r="55" spans="2:5" ht="15.75">
      <c r="B55" s="53">
        <v>51</v>
      </c>
      <c r="C55" s="55" t="s">
        <v>82</v>
      </c>
      <c r="D55" s="53" t="s">
        <v>31</v>
      </c>
      <c r="E55" s="55" t="s">
        <v>47</v>
      </c>
    </row>
    <row r="56" spans="2:5" ht="15.75">
      <c r="B56" s="53">
        <v>63</v>
      </c>
      <c r="C56" s="55" t="s">
        <v>83</v>
      </c>
      <c r="D56" s="53" t="s">
        <v>31</v>
      </c>
      <c r="E56" s="55" t="s">
        <v>36</v>
      </c>
    </row>
    <row r="57" spans="2:5" ht="15.75">
      <c r="B57" s="53">
        <v>151</v>
      </c>
      <c r="C57" s="55" t="s">
        <v>89</v>
      </c>
      <c r="D57" s="53">
        <v>1</v>
      </c>
      <c r="E57" s="55" t="s">
        <v>107</v>
      </c>
    </row>
    <row r="58" spans="2:5" ht="15.75">
      <c r="B58" s="53">
        <v>9</v>
      </c>
      <c r="C58" s="55" t="s">
        <v>84</v>
      </c>
      <c r="D58" s="53" t="s">
        <v>31</v>
      </c>
      <c r="E58" s="55" t="s">
        <v>74</v>
      </c>
    </row>
    <row r="59" spans="2:5" ht="15.75">
      <c r="B59" s="53">
        <v>21</v>
      </c>
      <c r="C59" s="55" t="s">
        <v>109</v>
      </c>
      <c r="D59" s="53" t="s">
        <v>31</v>
      </c>
      <c r="E59" s="55" t="s">
        <v>61</v>
      </c>
    </row>
    <row r="60" spans="2:5" ht="15.75">
      <c r="B60" s="53">
        <v>356</v>
      </c>
      <c r="C60" s="55" t="s">
        <v>112</v>
      </c>
      <c r="D60" s="53" t="s">
        <v>31</v>
      </c>
      <c r="E60" s="55" t="s">
        <v>61</v>
      </c>
    </row>
    <row r="61" spans="2:5" ht="15.75">
      <c r="B61" s="53">
        <v>17</v>
      </c>
      <c r="C61" s="55" t="s">
        <v>121</v>
      </c>
      <c r="D61" s="53" t="s">
        <v>31</v>
      </c>
      <c r="E61" s="55" t="s">
        <v>47</v>
      </c>
    </row>
    <row r="62" spans="2:5" ht="15.75">
      <c r="B62" s="53">
        <v>34</v>
      </c>
      <c r="C62" s="55" t="s">
        <v>56</v>
      </c>
      <c r="D62" s="53" t="s">
        <v>31</v>
      </c>
      <c r="E62" s="55" t="s">
        <v>57</v>
      </c>
    </row>
    <row r="63" spans="2:5" ht="15.75">
      <c r="B63" s="53">
        <v>2</v>
      </c>
      <c r="C63" s="55" t="s">
        <v>122</v>
      </c>
      <c r="D63" s="53" t="s">
        <v>31</v>
      </c>
      <c r="E63" s="55" t="s">
        <v>123</v>
      </c>
    </row>
    <row r="64" spans="2:5" ht="15.75">
      <c r="B64" s="53">
        <v>3</v>
      </c>
      <c r="C64" s="55" t="s">
        <v>110</v>
      </c>
      <c r="D64" s="53" t="s">
        <v>31</v>
      </c>
      <c r="E64" s="55" t="s">
        <v>111</v>
      </c>
    </row>
    <row r="65" spans="2:5" ht="15.75">
      <c r="B65" s="53">
        <v>147</v>
      </c>
      <c r="C65" s="55" t="s">
        <v>124</v>
      </c>
      <c r="D65" s="53" t="s">
        <v>31</v>
      </c>
      <c r="E65" s="55" t="s">
        <v>62</v>
      </c>
    </row>
    <row r="66" spans="2:5" ht="15.75">
      <c r="B66" s="53">
        <v>25</v>
      </c>
      <c r="C66" s="55" t="s">
        <v>125</v>
      </c>
      <c r="D66" s="53" t="s">
        <v>31</v>
      </c>
      <c r="E66" s="55" t="s">
        <v>106</v>
      </c>
    </row>
    <row r="67" spans="2:5" ht="15.75">
      <c r="B67" s="53">
        <v>44</v>
      </c>
      <c r="C67" s="55" t="s">
        <v>94</v>
      </c>
      <c r="D67" s="53" t="s">
        <v>31</v>
      </c>
      <c r="E67" s="55" t="s">
        <v>95</v>
      </c>
    </row>
    <row r="68" spans="2:5" ht="15.75">
      <c r="B68" s="53">
        <v>32</v>
      </c>
      <c r="C68" s="55" t="s">
        <v>77</v>
      </c>
      <c r="D68" s="53" t="s">
        <v>31</v>
      </c>
      <c r="E68" s="55" t="s">
        <v>61</v>
      </c>
    </row>
    <row r="69" spans="2:5" ht="15.75">
      <c r="B69" s="53">
        <v>72</v>
      </c>
      <c r="C69" s="55" t="s">
        <v>113</v>
      </c>
      <c r="D69" s="53" t="s">
        <v>31</v>
      </c>
      <c r="E69" s="55" t="s">
        <v>47</v>
      </c>
    </row>
    <row r="70" spans="2:5" ht="15.75">
      <c r="B70" s="53">
        <v>96</v>
      </c>
      <c r="C70" s="55" t="s">
        <v>135</v>
      </c>
      <c r="D70" s="53" t="s">
        <v>31</v>
      </c>
      <c r="E70" s="55" t="s">
        <v>47</v>
      </c>
    </row>
    <row r="71" spans="2:5" ht="15.75">
      <c r="B71" s="53">
        <v>34</v>
      </c>
      <c r="C71" s="55" t="s">
        <v>56</v>
      </c>
      <c r="D71" s="53" t="s">
        <v>31</v>
      </c>
      <c r="E71" s="55" t="s">
        <v>57</v>
      </c>
    </row>
    <row r="72" spans="2:5" ht="15.75">
      <c r="B72" s="53">
        <v>29</v>
      </c>
      <c r="C72" s="55" t="s">
        <v>156</v>
      </c>
      <c r="D72" s="53" t="s">
        <v>31</v>
      </c>
      <c r="E72" s="55" t="s">
        <v>61</v>
      </c>
    </row>
    <row r="73" spans="2:5" ht="15.75">
      <c r="B73" s="53">
        <v>810</v>
      </c>
      <c r="C73" s="55" t="s">
        <v>157</v>
      </c>
      <c r="D73" s="53" t="s">
        <v>31</v>
      </c>
      <c r="E73" s="55" t="s">
        <v>145</v>
      </c>
    </row>
    <row r="74" spans="2:5" ht="15.75">
      <c r="B74" s="53">
        <v>66</v>
      </c>
      <c r="C74" s="55" t="s">
        <v>158</v>
      </c>
      <c r="D74" s="53" t="s">
        <v>31</v>
      </c>
      <c r="E74" s="55" t="s">
        <v>159</v>
      </c>
    </row>
    <row r="75" spans="2:5" ht="15.75">
      <c r="B75" s="53">
        <v>55</v>
      </c>
      <c r="C75" s="55" t="s">
        <v>142</v>
      </c>
      <c r="D75" s="53" t="s">
        <v>31</v>
      </c>
      <c r="E75" s="55" t="s">
        <v>47</v>
      </c>
    </row>
    <row r="76" spans="2:5" ht="15.75">
      <c r="B76" s="53">
        <v>2</v>
      </c>
      <c r="C76" s="55" t="s">
        <v>160</v>
      </c>
      <c r="D76" s="53" t="s">
        <v>31</v>
      </c>
      <c r="E76" s="55" t="s">
        <v>161</v>
      </c>
    </row>
  </sheetData>
  <sheetProtection/>
  <mergeCells count="21">
    <mergeCell ref="A31:K31"/>
    <mergeCell ref="A7:A9"/>
    <mergeCell ref="B7:B9"/>
    <mergeCell ref="C7:C9"/>
    <mergeCell ref="D7:D9"/>
    <mergeCell ref="A2:K2"/>
    <mergeCell ref="A3:K3"/>
    <mergeCell ref="A4:L4"/>
    <mergeCell ref="A5:K5"/>
    <mergeCell ref="G7:H7"/>
    <mergeCell ref="A30:J30"/>
    <mergeCell ref="J8:J9"/>
    <mergeCell ref="I8:I9"/>
    <mergeCell ref="E7:E9"/>
    <mergeCell ref="I7:J7"/>
    <mergeCell ref="G8:G9"/>
    <mergeCell ref="K7:K9"/>
    <mergeCell ref="A28:K28"/>
    <mergeCell ref="H8:H9"/>
    <mergeCell ref="A27:J27"/>
    <mergeCell ref="F7:F9"/>
  </mergeCells>
  <printOptions/>
  <pageMargins left="0.9055118110236221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="140" zoomScaleNormal="140" zoomScalePageLayoutView="0" workbookViewId="0" topLeftCell="A1">
      <selection activeCell="A4" sqref="A4:L4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71" t="s">
        <v>201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9"/>
    </row>
    <row r="3" spans="1:12" ht="15" customHeight="1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30"/>
    </row>
    <row r="4" spans="1:12" ht="15.75" customHeight="1">
      <c r="A4" s="72" t="s">
        <v>211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8" customHeight="1">
      <c r="A5" s="73" t="s">
        <v>178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74" t="s">
        <v>22</v>
      </c>
      <c r="B7" s="74" t="s">
        <v>0</v>
      </c>
      <c r="C7" s="74" t="s">
        <v>1</v>
      </c>
      <c r="D7" s="74" t="s">
        <v>28</v>
      </c>
      <c r="E7" s="74" t="s">
        <v>25</v>
      </c>
      <c r="F7" s="74" t="s">
        <v>26</v>
      </c>
      <c r="G7" s="74" t="s">
        <v>2</v>
      </c>
      <c r="H7" s="74" t="s">
        <v>3</v>
      </c>
      <c r="I7" s="82"/>
      <c r="J7" s="74" t="s">
        <v>4</v>
      </c>
      <c r="K7" s="82"/>
      <c r="L7" s="83" t="s">
        <v>29</v>
      </c>
    </row>
    <row r="8" spans="1:12" ht="12.75">
      <c r="A8" s="75"/>
      <c r="B8" s="74"/>
      <c r="C8" s="74"/>
      <c r="D8" s="75"/>
      <c r="E8" s="75"/>
      <c r="F8" s="74"/>
      <c r="G8" s="75"/>
      <c r="H8" s="74" t="s">
        <v>11</v>
      </c>
      <c r="I8" s="80" t="s">
        <v>24</v>
      </c>
      <c r="J8" s="74" t="s">
        <v>11</v>
      </c>
      <c r="K8" s="80" t="s">
        <v>24</v>
      </c>
      <c r="L8" s="83"/>
    </row>
    <row r="9" spans="1:12" ht="27.75" customHeight="1">
      <c r="A9" s="75"/>
      <c r="B9" s="74"/>
      <c r="C9" s="74"/>
      <c r="D9" s="75"/>
      <c r="E9" s="75"/>
      <c r="F9" s="74"/>
      <c r="G9" s="75"/>
      <c r="H9" s="75"/>
      <c r="I9" s="81"/>
      <c r="J9" s="75"/>
      <c r="K9" s="81"/>
      <c r="L9" s="83"/>
    </row>
    <row r="10" spans="1:12" ht="15.75" customHeight="1">
      <c r="A10" s="50">
        <v>1</v>
      </c>
      <c r="B10" s="40">
        <v>70</v>
      </c>
      <c r="C10" s="46" t="s">
        <v>105</v>
      </c>
      <c r="D10" s="40" t="s">
        <v>31</v>
      </c>
      <c r="E10" s="45" t="s">
        <v>90</v>
      </c>
      <c r="F10" s="49" t="s">
        <v>30</v>
      </c>
      <c r="G10" s="47" t="s">
        <v>38</v>
      </c>
      <c r="H10" s="40">
        <v>1</v>
      </c>
      <c r="I10" s="27">
        <v>25</v>
      </c>
      <c r="J10" s="40">
        <v>1</v>
      </c>
      <c r="K10" s="27">
        <v>25</v>
      </c>
      <c r="L10" s="41">
        <f aca="true" t="shared" si="0" ref="L10:L17">I10+K10</f>
        <v>50</v>
      </c>
    </row>
    <row r="11" spans="1:12" ht="15.75" customHeight="1">
      <c r="A11" s="50">
        <v>2</v>
      </c>
      <c r="B11" s="40">
        <v>151</v>
      </c>
      <c r="C11" s="45" t="s">
        <v>173</v>
      </c>
      <c r="D11" s="40" t="s">
        <v>31</v>
      </c>
      <c r="E11" s="45" t="s">
        <v>36</v>
      </c>
      <c r="F11" s="49" t="s">
        <v>30</v>
      </c>
      <c r="G11" s="47" t="s">
        <v>39</v>
      </c>
      <c r="H11" s="40">
        <v>2</v>
      </c>
      <c r="I11" s="27">
        <v>22</v>
      </c>
      <c r="J11" s="40">
        <v>2</v>
      </c>
      <c r="K11" s="27">
        <v>22</v>
      </c>
      <c r="L11" s="41">
        <f t="shared" si="0"/>
        <v>44</v>
      </c>
    </row>
    <row r="12" spans="1:12" ht="15.75" customHeight="1">
      <c r="A12" s="50">
        <v>3</v>
      </c>
      <c r="B12" s="40">
        <v>85</v>
      </c>
      <c r="C12" s="45" t="s">
        <v>91</v>
      </c>
      <c r="D12" s="40" t="s">
        <v>31</v>
      </c>
      <c r="E12" s="45" t="s">
        <v>154</v>
      </c>
      <c r="F12" s="49" t="s">
        <v>30</v>
      </c>
      <c r="G12" s="40" t="s">
        <v>38</v>
      </c>
      <c r="H12" s="40">
        <v>3</v>
      </c>
      <c r="I12" s="27">
        <v>20</v>
      </c>
      <c r="J12" s="40">
        <v>3</v>
      </c>
      <c r="K12" s="27">
        <v>20</v>
      </c>
      <c r="L12" s="41">
        <f t="shared" si="0"/>
        <v>40</v>
      </c>
    </row>
    <row r="13" spans="1:12" ht="15.75" customHeight="1">
      <c r="A13" s="50">
        <v>4</v>
      </c>
      <c r="B13" s="40">
        <v>199</v>
      </c>
      <c r="C13" s="45" t="s">
        <v>196</v>
      </c>
      <c r="D13" s="40" t="s">
        <v>31</v>
      </c>
      <c r="E13" s="45" t="s">
        <v>145</v>
      </c>
      <c r="F13" s="49" t="s">
        <v>30</v>
      </c>
      <c r="G13" s="47" t="s">
        <v>41</v>
      </c>
      <c r="H13" s="40">
        <v>4</v>
      </c>
      <c r="I13" s="27">
        <v>18</v>
      </c>
      <c r="J13" s="40">
        <v>4</v>
      </c>
      <c r="K13" s="27">
        <v>18</v>
      </c>
      <c r="L13" s="41">
        <f t="shared" si="0"/>
        <v>36</v>
      </c>
    </row>
    <row r="14" spans="1:12" ht="15.75" customHeight="1">
      <c r="A14" s="50">
        <v>5</v>
      </c>
      <c r="B14" s="40">
        <v>81</v>
      </c>
      <c r="C14" s="45" t="s">
        <v>195</v>
      </c>
      <c r="D14" s="40" t="s">
        <v>31</v>
      </c>
      <c r="E14" s="45" t="s">
        <v>144</v>
      </c>
      <c r="F14" s="49" t="s">
        <v>30</v>
      </c>
      <c r="G14" s="47" t="s">
        <v>41</v>
      </c>
      <c r="H14" s="40">
        <v>5</v>
      </c>
      <c r="I14" s="27">
        <v>16</v>
      </c>
      <c r="J14" s="40">
        <v>5</v>
      </c>
      <c r="K14" s="27">
        <v>16</v>
      </c>
      <c r="L14" s="41">
        <f t="shared" si="0"/>
        <v>32</v>
      </c>
    </row>
    <row r="15" spans="1:12" ht="15.75" customHeight="1">
      <c r="A15" s="50">
        <v>6</v>
      </c>
      <c r="B15" s="40">
        <v>66</v>
      </c>
      <c r="C15" s="45" t="s">
        <v>198</v>
      </c>
      <c r="D15" s="40" t="s">
        <v>31</v>
      </c>
      <c r="E15" s="45" t="s">
        <v>199</v>
      </c>
      <c r="F15" s="49" t="s">
        <v>30</v>
      </c>
      <c r="G15" s="47" t="s">
        <v>38</v>
      </c>
      <c r="H15" s="40">
        <v>6</v>
      </c>
      <c r="I15" s="27">
        <v>15</v>
      </c>
      <c r="J15" s="40">
        <v>7</v>
      </c>
      <c r="K15" s="27">
        <v>14</v>
      </c>
      <c r="L15" s="41">
        <f t="shared" si="0"/>
        <v>29</v>
      </c>
    </row>
    <row r="16" spans="1:12" ht="15.75" customHeight="1">
      <c r="A16" s="50">
        <v>7</v>
      </c>
      <c r="B16" s="40">
        <v>72</v>
      </c>
      <c r="C16" s="45" t="s">
        <v>194</v>
      </c>
      <c r="D16" s="40" t="s">
        <v>31</v>
      </c>
      <c r="E16" s="45" t="s">
        <v>36</v>
      </c>
      <c r="F16" s="49" t="s">
        <v>30</v>
      </c>
      <c r="G16" s="47" t="s">
        <v>42</v>
      </c>
      <c r="H16" s="40">
        <v>8</v>
      </c>
      <c r="I16" s="27">
        <v>13</v>
      </c>
      <c r="J16" s="40">
        <v>6</v>
      </c>
      <c r="K16" s="27">
        <v>15</v>
      </c>
      <c r="L16" s="41">
        <f t="shared" si="0"/>
        <v>28</v>
      </c>
    </row>
    <row r="17" spans="1:12" ht="15.75" customHeight="1">
      <c r="A17" s="50">
        <v>8</v>
      </c>
      <c r="B17" s="40">
        <v>30</v>
      </c>
      <c r="C17" s="45" t="s">
        <v>197</v>
      </c>
      <c r="D17" s="40" t="s">
        <v>31</v>
      </c>
      <c r="E17" s="45" t="s">
        <v>36</v>
      </c>
      <c r="F17" s="49" t="s">
        <v>30</v>
      </c>
      <c r="G17" s="47" t="s">
        <v>41</v>
      </c>
      <c r="H17" s="40">
        <v>7</v>
      </c>
      <c r="I17" s="27">
        <v>14</v>
      </c>
      <c r="J17" s="40">
        <v>8</v>
      </c>
      <c r="K17" s="27">
        <v>13</v>
      </c>
      <c r="L17" s="41">
        <f t="shared" si="0"/>
        <v>27</v>
      </c>
    </row>
    <row r="18" spans="2:13" ht="15.75">
      <c r="B18" s="33" t="s">
        <v>23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2"/>
    </row>
    <row r="19" spans="2:13" ht="15.75">
      <c r="B19" s="33" t="s">
        <v>131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2:13" ht="15.75">
      <c r="B20" s="33" t="s">
        <v>44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2"/>
    </row>
    <row r="21" spans="2:13" ht="15.75">
      <c r="B21" s="76" t="s">
        <v>53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</sheetData>
  <sheetProtection/>
  <mergeCells count="19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B21:M21"/>
    <mergeCell ref="G7:G9"/>
    <mergeCell ref="H7:I7"/>
    <mergeCell ref="J7:K7"/>
    <mergeCell ref="L7:L9"/>
    <mergeCell ref="H8:H9"/>
    <mergeCell ref="I8:I9"/>
    <mergeCell ref="J8:J9"/>
    <mergeCell ref="K8:K9"/>
  </mergeCell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FORMAT25</cp:lastModifiedBy>
  <cp:lastPrinted>2019-10-20T23:35:27Z</cp:lastPrinted>
  <dcterms:created xsi:type="dcterms:W3CDTF">1996-10-08T23:32:33Z</dcterms:created>
  <dcterms:modified xsi:type="dcterms:W3CDTF">2019-10-21T00:27:32Z</dcterms:modified>
  <cp:category/>
  <cp:version/>
  <cp:contentType/>
  <cp:contentStatus/>
</cp:coreProperties>
</file>