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99" firstSheet="4" activeTab="8"/>
  </bookViews>
  <sheets>
    <sheet name="Чемп 50 см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state="hidden" r:id="rId8"/>
    <sheet name=" Хобби" sheetId="9" r:id="rId9"/>
    <sheet name="Команды" sheetId="10" r:id="rId10"/>
  </sheets>
  <definedNames>
    <definedName name="_xlnm.Print_Area" localSheetId="1">'Чемп 50 см'!$A$1:$IO$28</definedName>
    <definedName name="_xlnm.Print_Area" localSheetId="0">'Чемп 50 см pw'!$A$1:$IO$27</definedName>
    <definedName name="_xlnm.Print_Area" localSheetId="3">'Чемп 85 см'!#REF!</definedName>
  </definedNames>
  <calcPr fullCalcOnLoad="1"/>
</workbook>
</file>

<file path=xl/sharedStrings.xml><?xml version="1.0" encoding="utf-8"?>
<sst xmlns="http://schemas.openxmlformats.org/spreadsheetml/2006/main" count="844" uniqueCount="223">
  <si>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</si>
  <si>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</si>
  <si>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</si>
  <si>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</si>
  <si>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</si>
  <si>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</si>
  <si>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</si>
  <si>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</si>
  <si>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</si>
  <si>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</si>
  <si>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</si>
  <si>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</si>
  <si>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</si>
  <si>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</si>
  <si>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</si>
  <si>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</si>
  <si>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</si>
  <si>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</si>
  <si>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</si>
  <si>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</si>
  <si>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</si>
  <si>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</si>
  <si>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</si>
  <si>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</si>
  <si>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</si>
  <si>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</si>
  <si>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</si>
  <si>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</si>
  <si>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</si>
  <si>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</si>
  <si>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</si>
  <si>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</si>
  <si>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</si>
  <si>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</si>
  <si>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</si>
  <si>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</si>
  <si>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</si>
  <si>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</si>
  <si>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</si>
  <si>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</si>
  <si>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</si>
  <si>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</si>
  <si>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</si>
  <si>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</si>
  <si>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</si>
  <si>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</si>
  <si>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Башмаков Денис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</si>
  <si>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</si>
  <si>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</si>
  <si>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</si>
  <si>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</si>
  <si>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</si>
  <si>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</si>
  <si>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</si>
  <si>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</si>
  <si>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</si>
  <si>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1-ю</t>
  </si>
  <si>
    <t>Брухтей Александр</t>
  </si>
  <si>
    <t>п. Кировский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</si>
  <si>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</si>
  <si>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</si>
  <si>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</si>
  <si>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</si>
  <si>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</si>
  <si>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</si>
  <si>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</si>
  <si>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</si>
  <si>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</si>
  <si>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</si>
  <si>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</si>
  <si>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</si>
  <si>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</si>
  <si>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н/ф</t>
  </si>
  <si>
    <t>н/с</t>
  </si>
  <si>
    <t>Ерохин Денис</t>
  </si>
  <si>
    <t>Наумов Валерий</t>
  </si>
  <si>
    <t>Завертан Аристарх</t>
  </si>
  <si>
    <t xml:space="preserve">Наумова Юлия </t>
  </si>
  <si>
    <t>п. Славянка</t>
  </si>
  <si>
    <t>Челышков Макар</t>
  </si>
  <si>
    <t>г.Находка</t>
  </si>
  <si>
    <t>Лесозаводск</t>
  </si>
  <si>
    <t>Хабаровск</t>
  </si>
  <si>
    <t>Косарев Алексей</t>
  </si>
  <si>
    <t>Пономарев Виктор</t>
  </si>
  <si>
    <t>Зиновьев Антон</t>
  </si>
  <si>
    <t>Ивлев Андрей</t>
  </si>
  <si>
    <t>Момонт Владимир</t>
  </si>
  <si>
    <t>Заикин Константин</t>
  </si>
  <si>
    <t>Ерохин Дмитрий</t>
  </si>
  <si>
    <t>Попов Андрей</t>
  </si>
  <si>
    <t>Бардаш Александр</t>
  </si>
  <si>
    <t>г. Спасск</t>
  </si>
  <si>
    <t>Черный Дмитрий</t>
  </si>
  <si>
    <t>п. Новый</t>
  </si>
  <si>
    <t>Пантелеев Илья</t>
  </si>
  <si>
    <t>Шаповаленко Сергей</t>
  </si>
  <si>
    <t>г. Дальнегорск</t>
  </si>
  <si>
    <t>Швецов Алексей</t>
  </si>
  <si>
    <t>Зайцев Степан</t>
  </si>
  <si>
    <t>Бондарь Олег</t>
  </si>
  <si>
    <t>Гринцевич Алексей</t>
  </si>
  <si>
    <t>п.Терней</t>
  </si>
  <si>
    <t>Заика Александр</t>
  </si>
  <si>
    <t>Миронов Игорь</t>
  </si>
  <si>
    <t>п. Кавалерово</t>
  </si>
  <si>
    <t>Юхнов Сергей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</si>
  <si>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</si>
  <si>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Матяш Александр</t>
  </si>
  <si>
    <t>Быков Дмитрий</t>
  </si>
  <si>
    <t>Мостовой Артем</t>
  </si>
  <si>
    <t>Немцов Анатолий</t>
  </si>
  <si>
    <t>Тимченко Михаил</t>
  </si>
  <si>
    <t>Дальнегорск</t>
  </si>
  <si>
    <t>Ю-Сахалинск</t>
  </si>
  <si>
    <t>Шелестюк Максим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</si>
  <si>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</si>
  <si>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</si>
  <si>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</si>
  <si>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</si>
  <si>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</si>
  <si>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</si>
  <si>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Макаров Александр</t>
  </si>
  <si>
    <t>Тимченко Артем</t>
  </si>
  <si>
    <t>Швецов Егор</t>
  </si>
  <si>
    <t>п.Ливадия</t>
  </si>
  <si>
    <t>Челышков Давид</t>
  </si>
  <si>
    <t>Кондратьев Никита</t>
  </si>
  <si>
    <t>Жибарь Никита</t>
  </si>
  <si>
    <t>Киселев Александр</t>
  </si>
  <si>
    <t>Бурковский Александр</t>
  </si>
  <si>
    <t>п.Заводской</t>
  </si>
  <si>
    <t>Гордеев Сергей</t>
  </si>
  <si>
    <t>Синельников Иван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</si>
  <si>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</si>
  <si>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</si>
  <si>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</si>
  <si>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</si>
  <si>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</si>
  <si>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</si>
  <si>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</si>
  <si>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</si>
  <si>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</si>
  <si>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</si>
  <si>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</si>
  <si>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</si>
  <si>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Кузнецов Кирилл</t>
  </si>
  <si>
    <t>Демчишин Данила</t>
  </si>
  <si>
    <t>Демчишин Вадим</t>
  </si>
  <si>
    <t>Кондратьев Даниил</t>
  </si>
  <si>
    <t>Карайченцев Лев</t>
  </si>
  <si>
    <t>Коваленко Игнат</t>
  </si>
  <si>
    <t>Петров Владислав</t>
  </si>
  <si>
    <t>УЛРЗ</t>
  </si>
  <si>
    <t>Пятницкий Богдан</t>
  </si>
  <si>
    <t xml:space="preserve">Сумма очков          </t>
  </si>
  <si>
    <t>Уссурийск</t>
  </si>
  <si>
    <t>2 заезд</t>
  </si>
  <si>
    <t>1 заезд</t>
  </si>
  <si>
    <t xml:space="preserve">                                                                       ПРОТОКОЛ КОМАНДНОГО ЗАЧЕТА</t>
  </si>
  <si>
    <t>ВОСТОК</t>
  </si>
  <si>
    <t>Семин Семён</t>
  </si>
  <si>
    <t>г. Артем</t>
  </si>
  <si>
    <t>г. Хабаровск</t>
  </si>
  <si>
    <t>Бочкарев Иван</t>
  </si>
  <si>
    <t>п. Хороль</t>
  </si>
  <si>
    <t>Полищук Артур</t>
  </si>
  <si>
    <t>с. В.Надеждинское</t>
  </si>
  <si>
    <t>Орехов Феликс</t>
  </si>
  <si>
    <t>с. Покровка</t>
  </si>
  <si>
    <t>Мысливец Дитрий</t>
  </si>
  <si>
    <t>Изюмцев Петр</t>
  </si>
  <si>
    <t>г. Спасск-Д.</t>
  </si>
  <si>
    <t>Лапко Евгений</t>
  </si>
  <si>
    <t>п. Ливадия</t>
  </si>
  <si>
    <t>Перелыгин Константин</t>
  </si>
  <si>
    <t>Таран Александр</t>
  </si>
  <si>
    <t>Хомед Денис</t>
  </si>
  <si>
    <t>Дробязин Максим</t>
  </si>
  <si>
    <t>п. Новошахтинск</t>
  </si>
  <si>
    <t>Сабуров Иван</t>
  </si>
  <si>
    <t>г. Арсеньев</t>
  </si>
  <si>
    <t>ТЕХНО ВЛАД</t>
  </si>
  <si>
    <t>Болдырев Артемий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</si>
  <si>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(ветераны)</t>
    </r>
  </si>
  <si>
    <t>п. Покровка</t>
  </si>
  <si>
    <t>Киселев Роман</t>
  </si>
  <si>
    <t>Демчишин Павел</t>
  </si>
  <si>
    <t xml:space="preserve"> Чемпионат Приморского края по мотоциклетному спорту/мотокросс/ 2019 года.  3-й этап.                                                                                                                             </t>
  </si>
  <si>
    <t>г.Большой Камень (Приморский край)                                                                           27- 28 июля 2019 года.</t>
  </si>
  <si>
    <t>п.Хороль</t>
  </si>
  <si>
    <t>ТЕХНОВЛАД</t>
  </si>
  <si>
    <t xml:space="preserve">Полиданов Дмитрий </t>
  </si>
  <si>
    <t>Шалавин  Аркадий</t>
  </si>
  <si>
    <t>Чернышев Арсений</t>
  </si>
  <si>
    <t>г. Партизанск</t>
  </si>
  <si>
    <t>Кадачигова Алиса</t>
  </si>
  <si>
    <t>Жидовинов Иван</t>
  </si>
  <si>
    <t>Кравченко Ярослав</t>
  </si>
  <si>
    <t>Кравченко Арсений</t>
  </si>
  <si>
    <t>Мешков Сергей</t>
  </si>
  <si>
    <t>Дышлюк Вадим</t>
  </si>
  <si>
    <t xml:space="preserve">                          Чемпионат и Первенство Приморского края по мотоциклетному спорту/мотокросс/ 2019 года. 7-й этап</t>
  </si>
  <si>
    <t xml:space="preserve"> Чемпионат Приморского края по мотоциклетному спорту/мотокросс/ 2019 года.  7-й этап.                                                                                                                             </t>
  </si>
  <si>
    <t xml:space="preserve"> Первенство Приморского края по мотоциклетному спорту/мотокросс/ 2019 года.  7-й этап.                                                                                                                             </t>
  </si>
  <si>
    <t>г.Дальнегорск (Приморский край)                                                                        21-22 сентября 2019 года.</t>
  </si>
  <si>
    <t>Пожарицкий Роман</t>
  </si>
  <si>
    <t>Дедусь Иван</t>
  </si>
  <si>
    <t>Онуфрий Кирилл</t>
  </si>
  <si>
    <t>Лукашов Артемий</t>
  </si>
  <si>
    <t>Рыбалочка Георгий</t>
  </si>
  <si>
    <t>г. Б.Камень</t>
  </si>
  <si>
    <t>Киперко Егор</t>
  </si>
  <si>
    <t>Власов Семен</t>
  </si>
  <si>
    <t>Лузанов Максим</t>
  </si>
  <si>
    <t>Лукашов Никита</t>
  </si>
  <si>
    <t>Краснокуцкий Василий</t>
  </si>
  <si>
    <t>Коровко Никита</t>
  </si>
  <si>
    <t>Столяров Игорь</t>
  </si>
  <si>
    <t>Самбурский Юрий</t>
  </si>
  <si>
    <t>Нестеров Александр</t>
  </si>
  <si>
    <t>Долгалев Семен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</si>
  <si>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(хобби)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</si>
</sst>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14" fillId="38" borderId="12" xfId="0" applyFont="1" applyFill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 applyProtection="1">
      <alignment horizontal="center" vertical="center"/>
      <protection locked="0"/>
    </xf>
    <xf numFmtId="0" fontId="61" fillId="35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3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34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16" fillId="18" borderId="21" xfId="0" applyFont="1" applyFill="1" applyBorder="1" applyAlignment="1" applyProtection="1">
      <alignment horizontal="center" vertical="center" wrapText="1"/>
      <protection locked="0"/>
    </xf>
    <xf numFmtId="0" fontId="16" fillId="18" borderId="22" xfId="0" applyFont="1" applyFill="1" applyBorder="1" applyAlignment="1" applyProtection="1">
      <alignment horizontal="center" vertical="center" wrapText="1"/>
      <protection locked="0"/>
    </xf>
    <xf numFmtId="0" fontId="16" fillId="18" borderId="23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6" fillId="38" borderId="21" xfId="0" applyFont="1" applyFill="1" applyBorder="1" applyAlignment="1" applyProtection="1">
      <alignment horizontal="center" vertical="center" wrapText="1"/>
      <protection locked="0"/>
    </xf>
    <xf numFmtId="0" fontId="14" fillId="38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7</xdr:col>
      <xdr:colOff>161925</xdr:colOff>
      <xdr:row>0</xdr:row>
      <xdr:rowOff>1076325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</xdr:row>
      <xdr:rowOff>47625</xdr:rowOff>
    </xdr:from>
    <xdr:to>
      <xdr:col>12</xdr:col>
      <xdr:colOff>0</xdr:colOff>
      <xdr:row>26</xdr:row>
      <xdr:rowOff>47625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057900"/>
          <a:ext cx="759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1543050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1628775</xdr:colOff>
      <xdr:row>1</xdr:row>
      <xdr:rowOff>190500</xdr:rowOff>
    </xdr:to>
    <xdr:pic>
      <xdr:nvPicPr>
        <xdr:cNvPr id="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1085850</xdr:colOff>
      <xdr:row>1</xdr:row>
      <xdr:rowOff>28575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38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28575</xdr:rowOff>
    </xdr:from>
    <xdr:to>
      <xdr:col>3</xdr:col>
      <xdr:colOff>142875</xdr:colOff>
      <xdr:row>2</xdr:row>
      <xdr:rowOff>76200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133350</xdr:rowOff>
    </xdr:from>
    <xdr:to>
      <xdr:col>11</xdr:col>
      <xdr:colOff>0</xdr:colOff>
      <xdr:row>24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912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029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029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029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029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190500</xdr:colOff>
      <xdr:row>2</xdr:row>
      <xdr:rowOff>104775</xdr:rowOff>
    </xdr:to>
    <xdr:pic>
      <xdr:nvPicPr>
        <xdr:cNvPr id="1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1752600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1276350</xdr:colOff>
      <xdr:row>1</xdr:row>
      <xdr:rowOff>200025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172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21</xdr:row>
      <xdr:rowOff>0</xdr:rowOff>
    </xdr:from>
    <xdr:to>
      <xdr:col>12</xdr:col>
      <xdr:colOff>323850</xdr:colOff>
      <xdr:row>21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1720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172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21</xdr:row>
      <xdr:rowOff>0</xdr:rowOff>
    </xdr:from>
    <xdr:to>
      <xdr:col>12</xdr:col>
      <xdr:colOff>323850</xdr:colOff>
      <xdr:row>21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1720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172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21</xdr:row>
      <xdr:rowOff>0</xdr:rowOff>
    </xdr:from>
    <xdr:to>
      <xdr:col>12</xdr:col>
      <xdr:colOff>323850</xdr:colOff>
      <xdr:row>21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1720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172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21</xdr:row>
      <xdr:rowOff>0</xdr:rowOff>
    </xdr:from>
    <xdr:to>
      <xdr:col>12</xdr:col>
      <xdr:colOff>323850</xdr:colOff>
      <xdr:row>21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1720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1720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21</xdr:row>
      <xdr:rowOff>0</xdr:rowOff>
    </xdr:from>
    <xdr:to>
      <xdr:col>12</xdr:col>
      <xdr:colOff>323850</xdr:colOff>
      <xdr:row>21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1720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1162050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619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962025</xdr:colOff>
      <xdr:row>0</xdr:row>
      <xdr:rowOff>1104900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72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7720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72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7720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72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7720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72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7720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772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19</xdr:row>
      <xdr:rowOff>0</xdr:rowOff>
    </xdr:from>
    <xdr:to>
      <xdr:col>12</xdr:col>
      <xdr:colOff>323850</xdr:colOff>
      <xdr:row>19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7720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1162050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4"/>
  <sheetViews>
    <sheetView view="pageLayout" zoomScale="90" zoomScalePageLayoutView="90" workbookViewId="0" topLeftCell="A4">
      <selection activeCell="E22" sqref="E2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83" t="s">
        <v>204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  <c r="M2" s="8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0"/>
      <c r="M3" s="8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4" t="s">
        <v>205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5" t="s">
        <v>107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74"/>
      <c r="J7" s="72" t="s">
        <v>4</v>
      </c>
      <c r="K7" s="74"/>
      <c r="L7" s="75" t="s">
        <v>29</v>
      </c>
      <c r="M7" s="76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3"/>
      <c r="B8" s="72"/>
      <c r="C8" s="72"/>
      <c r="D8" s="73"/>
      <c r="E8" s="73"/>
      <c r="F8" s="72"/>
      <c r="G8" s="73"/>
      <c r="H8" s="72" t="s">
        <v>11</v>
      </c>
      <c r="I8" s="79" t="s">
        <v>24</v>
      </c>
      <c r="J8" s="72" t="s">
        <v>11</v>
      </c>
      <c r="K8" s="79" t="s">
        <v>24</v>
      </c>
      <c r="L8" s="75"/>
      <c r="M8" s="77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3"/>
      <c r="B9" s="72"/>
      <c r="C9" s="72"/>
      <c r="D9" s="73"/>
      <c r="E9" s="73"/>
      <c r="F9" s="72"/>
      <c r="G9" s="73"/>
      <c r="H9" s="73"/>
      <c r="I9" s="80"/>
      <c r="J9" s="73"/>
      <c r="K9" s="80"/>
      <c r="L9" s="75"/>
      <c r="M9" s="78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85</v>
      </c>
      <c r="C10" s="46" t="s">
        <v>124</v>
      </c>
      <c r="D10" s="41" t="s">
        <v>31</v>
      </c>
      <c r="E10" s="46" t="s">
        <v>125</v>
      </c>
      <c r="F10" s="50" t="s">
        <v>30</v>
      </c>
      <c r="G10" s="48" t="s">
        <v>40</v>
      </c>
      <c r="H10" s="41">
        <v>1</v>
      </c>
      <c r="I10" s="27">
        <v>25</v>
      </c>
      <c r="J10" s="41">
        <v>2</v>
      </c>
      <c r="K10" s="27">
        <v>22</v>
      </c>
      <c r="L10" s="42">
        <f aca="true" t="shared" si="0" ref="L10:L16">I10+K10</f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70</v>
      </c>
      <c r="C11" s="46" t="s">
        <v>123</v>
      </c>
      <c r="D11" s="41" t="s">
        <v>31</v>
      </c>
      <c r="E11" s="46" t="s">
        <v>118</v>
      </c>
      <c r="F11" s="50" t="s">
        <v>30</v>
      </c>
      <c r="G11" s="48" t="s">
        <v>40</v>
      </c>
      <c r="H11" s="41">
        <v>3</v>
      </c>
      <c r="I11" s="27">
        <v>20</v>
      </c>
      <c r="J11" s="41">
        <v>1</v>
      </c>
      <c r="K11" s="27">
        <v>25</v>
      </c>
      <c r="L11" s="42">
        <f t="shared" si="0"/>
        <v>45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33</v>
      </c>
      <c r="C12" s="46" t="s">
        <v>150</v>
      </c>
      <c r="D12" s="41" t="s">
        <v>31</v>
      </c>
      <c r="E12" s="46" t="s">
        <v>36</v>
      </c>
      <c r="F12" s="50" t="s">
        <v>30</v>
      </c>
      <c r="G12" s="48" t="s">
        <v>40</v>
      </c>
      <c r="H12" s="41">
        <v>2</v>
      </c>
      <c r="I12" s="27">
        <v>22</v>
      </c>
      <c r="J12" s="41">
        <v>3</v>
      </c>
      <c r="K12" s="27">
        <v>20</v>
      </c>
      <c r="L12" s="42">
        <f t="shared" si="0"/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77</v>
      </c>
      <c r="C13" s="46" t="s">
        <v>194</v>
      </c>
      <c r="D13" s="41" t="s">
        <v>31</v>
      </c>
      <c r="E13" s="46" t="s">
        <v>195</v>
      </c>
      <c r="F13" s="50" t="s">
        <v>30</v>
      </c>
      <c r="G13" s="48" t="s">
        <v>40</v>
      </c>
      <c r="H13" s="41">
        <v>4</v>
      </c>
      <c r="I13" s="27">
        <v>18</v>
      </c>
      <c r="J13" s="41">
        <v>4</v>
      </c>
      <c r="K13" s="27">
        <v>18</v>
      </c>
      <c r="L13" s="42">
        <f t="shared" si="0"/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12</v>
      </c>
      <c r="C14" s="46" t="s">
        <v>206</v>
      </c>
      <c r="D14" s="41" t="s">
        <v>31</v>
      </c>
      <c r="E14" s="46" t="s">
        <v>118</v>
      </c>
      <c r="F14" s="50" t="s">
        <v>30</v>
      </c>
      <c r="G14" s="48" t="s">
        <v>40</v>
      </c>
      <c r="H14" s="41">
        <v>5</v>
      </c>
      <c r="I14" s="27">
        <v>16</v>
      </c>
      <c r="J14" s="41">
        <v>5</v>
      </c>
      <c r="K14" s="27">
        <v>16</v>
      </c>
      <c r="L14" s="42">
        <f t="shared" si="0"/>
        <v>32</v>
      </c>
      <c r="M14" s="20" t="e">
        <f>#REF!+#REF!</f>
        <v>#REF!</v>
      </c>
      <c r="N14" s="21"/>
      <c r="O14" s="22"/>
      <c r="P14" s="21">
        <f>IF(H13=1,25,0)</f>
        <v>0</v>
      </c>
      <c r="Q14" s="21">
        <f>IF(H13=2,22,0)</f>
        <v>0</v>
      </c>
      <c r="R14" s="21">
        <f>IF(H13=3,20,0)</f>
        <v>0</v>
      </c>
      <c r="S14" s="21">
        <f>IF(H13=4,18,0)</f>
        <v>18</v>
      </c>
      <c r="T14" s="21">
        <f>IF(H13=5,16,0)</f>
        <v>0</v>
      </c>
      <c r="U14" s="21">
        <f>IF(H13=6,15,0)</f>
        <v>0</v>
      </c>
      <c r="V14" s="21">
        <f>IF(H13=7,14,0)</f>
        <v>0</v>
      </c>
      <c r="W14" s="21">
        <f>IF(H13=8,13,0)</f>
        <v>0</v>
      </c>
      <c r="X14" s="21">
        <f>IF(H13=9,12,0)</f>
        <v>0</v>
      </c>
      <c r="Y14" s="21">
        <f>IF(H13=10,11,0)</f>
        <v>0</v>
      </c>
      <c r="Z14" s="21">
        <f>IF(H13=11,10,0)</f>
        <v>0</v>
      </c>
      <c r="AA14" s="21">
        <f>IF(H13=12,9,0)</f>
        <v>0</v>
      </c>
      <c r="AB14" s="21">
        <f>IF(H13=13,8,0)</f>
        <v>0</v>
      </c>
      <c r="AC14" s="21">
        <f>IF(H13=14,7,0)</f>
        <v>0</v>
      </c>
      <c r="AD14" s="21">
        <f>IF(H13=15,6,0)</f>
        <v>0</v>
      </c>
      <c r="AE14" s="21">
        <f>IF(H13=16,5,0)</f>
        <v>0</v>
      </c>
      <c r="AF14" s="21">
        <f>IF(H13=17,4,0)</f>
        <v>0</v>
      </c>
      <c r="AG14" s="21">
        <f>IF(H13=18,3,0)</f>
        <v>0</v>
      </c>
      <c r="AH14" s="21">
        <f>IF(H13=19,2,0)</f>
        <v>0</v>
      </c>
      <c r="AI14" s="21">
        <f>IF(H13=20,1,0)</f>
        <v>0</v>
      </c>
      <c r="AJ14" s="21">
        <f>IF(H13&gt;20,0,0)</f>
        <v>0</v>
      </c>
      <c r="AK14" s="21">
        <f>IF(H13="сх",0,0)</f>
        <v>0</v>
      </c>
      <c r="AL14" s="21">
        <f>SUM(P14:AJ14)</f>
        <v>18</v>
      </c>
      <c r="AM14" s="21">
        <f>IF(J13=1,25,0)</f>
        <v>0</v>
      </c>
      <c r="AN14" s="21">
        <f>IF(J13=2,22,0)</f>
        <v>0</v>
      </c>
      <c r="AO14" s="21">
        <f>IF(J13=3,20,0)</f>
        <v>0</v>
      </c>
      <c r="AP14" s="21">
        <f>IF(J13=4,18,0)</f>
        <v>18</v>
      </c>
      <c r="AQ14" s="21">
        <f>IF(J13=5,16,0)</f>
        <v>0</v>
      </c>
      <c r="AR14" s="21">
        <f>IF(J13=6,15,0)</f>
        <v>0</v>
      </c>
      <c r="AS14" s="21">
        <f>IF(J13=7,14,0)</f>
        <v>0</v>
      </c>
      <c r="AT14" s="21">
        <f>IF(J13=8,13,0)</f>
        <v>0</v>
      </c>
      <c r="AU14" s="21">
        <f>IF(J13=9,12,0)</f>
        <v>0</v>
      </c>
      <c r="AV14" s="21">
        <f>IF(J13=10,11,0)</f>
        <v>0</v>
      </c>
      <c r="AW14" s="21">
        <f>IF(J13=11,10,0)</f>
        <v>0</v>
      </c>
      <c r="AX14" s="21">
        <f>IF(J13=12,9,0)</f>
        <v>0</v>
      </c>
      <c r="AY14" s="21">
        <f>IF(J13=13,8,0)</f>
        <v>0</v>
      </c>
      <c r="AZ14" s="21">
        <f>IF(J13=14,7,0)</f>
        <v>0</v>
      </c>
      <c r="BA14" s="21">
        <f>IF(J13=15,6,0)</f>
        <v>0</v>
      </c>
      <c r="BB14" s="21">
        <f>IF(J13=16,5,0)</f>
        <v>0</v>
      </c>
      <c r="BC14" s="21">
        <f>IF(J13=17,4,0)</f>
        <v>0</v>
      </c>
      <c r="BD14" s="21">
        <f>IF(J13=18,3,0)</f>
        <v>0</v>
      </c>
      <c r="BE14" s="21">
        <f>IF(J13=19,2,0)</f>
        <v>0</v>
      </c>
      <c r="BF14" s="21">
        <f>IF(J13=20,1,0)</f>
        <v>0</v>
      </c>
      <c r="BG14" s="21">
        <f>IF(J13&gt;20,0,0)</f>
        <v>0</v>
      </c>
      <c r="BH14" s="21">
        <f>IF(J13="сх",0,0)</f>
        <v>0</v>
      </c>
      <c r="BI14" s="21">
        <f>SUM(AM14:BG14)</f>
        <v>18</v>
      </c>
      <c r="BJ14" s="21">
        <f>IF(H13=1,45,0)</f>
        <v>0</v>
      </c>
      <c r="BK14" s="21">
        <f>IF(H13=2,42,0)</f>
        <v>0</v>
      </c>
      <c r="BL14" s="21">
        <f>IF(H13=3,40,0)</f>
        <v>0</v>
      </c>
      <c r="BM14" s="21">
        <f>IF(H13=4,38,0)</f>
        <v>38</v>
      </c>
      <c r="BN14" s="21">
        <f>IF(H13=5,36,0)</f>
        <v>0</v>
      </c>
      <c r="BO14" s="21">
        <f>IF(H13=6,35,0)</f>
        <v>0</v>
      </c>
      <c r="BP14" s="21">
        <f>IF(H13=7,34,0)</f>
        <v>0</v>
      </c>
      <c r="BQ14" s="21">
        <f>IF(H13=8,33,0)</f>
        <v>0</v>
      </c>
      <c r="BR14" s="21">
        <f>IF(H13=9,32,0)</f>
        <v>0</v>
      </c>
      <c r="BS14" s="21">
        <f>IF(H13=10,31,0)</f>
        <v>0</v>
      </c>
      <c r="BT14" s="21">
        <f>IF(H13=11,30,0)</f>
        <v>0</v>
      </c>
      <c r="BU14" s="21">
        <f>IF(H13=12,29,0)</f>
        <v>0</v>
      </c>
      <c r="BV14" s="21">
        <f>IF(H13=13,28,0)</f>
        <v>0</v>
      </c>
      <c r="BW14" s="21">
        <f>IF(H13=14,27,0)</f>
        <v>0</v>
      </c>
      <c r="BX14" s="21">
        <f>IF(H13=15,26,0)</f>
        <v>0</v>
      </c>
      <c r="BY14" s="21">
        <f>IF(H13=16,25,0)</f>
        <v>0</v>
      </c>
      <c r="BZ14" s="21">
        <f>IF(H13=17,24,0)</f>
        <v>0</v>
      </c>
      <c r="CA14" s="21">
        <f>IF(H13=18,23,0)</f>
        <v>0</v>
      </c>
      <c r="CB14" s="21">
        <f>IF(H13=19,22,0)</f>
        <v>0</v>
      </c>
      <c r="CC14" s="21">
        <f>IF(H13=20,21,0)</f>
        <v>0</v>
      </c>
      <c r="CD14" s="21">
        <f>IF(H13=21,20,0)</f>
        <v>0</v>
      </c>
      <c r="CE14" s="21">
        <f>IF(H13=22,19,0)</f>
        <v>0</v>
      </c>
      <c r="CF14" s="21">
        <f>IF(H13=23,18,0)</f>
        <v>0</v>
      </c>
      <c r="CG14" s="21">
        <f>IF(H13=24,17,0)</f>
        <v>0</v>
      </c>
      <c r="CH14" s="21">
        <f>IF(H13=25,16,0)</f>
        <v>0</v>
      </c>
      <c r="CI14" s="21">
        <f>IF(H13=26,15,0)</f>
        <v>0</v>
      </c>
      <c r="CJ14" s="21">
        <f>IF(H13=27,14,0)</f>
        <v>0</v>
      </c>
      <c r="CK14" s="21">
        <f>IF(H13=28,13,0)</f>
        <v>0</v>
      </c>
      <c r="CL14" s="21">
        <f>IF(H13=29,12,0)</f>
        <v>0</v>
      </c>
      <c r="CM14" s="21">
        <f>IF(H13=30,11,0)</f>
        <v>0</v>
      </c>
      <c r="CN14" s="21">
        <f>IF(H13=31,10,0)</f>
        <v>0</v>
      </c>
      <c r="CO14" s="21">
        <f>IF(H13=32,9,0)</f>
        <v>0</v>
      </c>
      <c r="CP14" s="21">
        <f>IF(H13=33,8,0)</f>
        <v>0</v>
      </c>
      <c r="CQ14" s="21">
        <f>IF(H13=34,7,0)</f>
        <v>0</v>
      </c>
      <c r="CR14" s="21">
        <f>IF(H13=35,6,0)</f>
        <v>0</v>
      </c>
      <c r="CS14" s="21">
        <f>IF(H13=36,5,0)</f>
        <v>0</v>
      </c>
      <c r="CT14" s="21">
        <f>IF(H13=37,4,0)</f>
        <v>0</v>
      </c>
      <c r="CU14" s="21">
        <f>IF(H13=38,3,0)</f>
        <v>0</v>
      </c>
      <c r="CV14" s="21">
        <f>IF(H13=39,2,0)</f>
        <v>0</v>
      </c>
      <c r="CW14" s="21">
        <f>IF(H13=40,1,0)</f>
        <v>0</v>
      </c>
      <c r="CX14" s="21">
        <f>IF(H13&gt;20,0,0)</f>
        <v>0</v>
      </c>
      <c r="CY14" s="21">
        <f>IF(H13="сх",0,0)</f>
        <v>0</v>
      </c>
      <c r="CZ14" s="21">
        <f>SUM(BJ14:CY14)</f>
        <v>38</v>
      </c>
      <c r="DA14" s="21">
        <f>IF(J13=1,45,0)</f>
        <v>0</v>
      </c>
      <c r="DB14" s="21">
        <f>IF(J13=2,42,0)</f>
        <v>0</v>
      </c>
      <c r="DC14" s="21">
        <f>IF(J13=3,40,0)</f>
        <v>0</v>
      </c>
      <c r="DD14" s="21">
        <f>IF(J13=4,38,0)</f>
        <v>38</v>
      </c>
      <c r="DE14" s="21">
        <f>IF(J13=5,36,0)</f>
        <v>0</v>
      </c>
      <c r="DF14" s="21">
        <f>IF(J13=6,35,0)</f>
        <v>0</v>
      </c>
      <c r="DG14" s="21">
        <f>IF(J13=7,34,0)</f>
        <v>0</v>
      </c>
      <c r="DH14" s="21">
        <f>IF(J13=8,33,0)</f>
        <v>0</v>
      </c>
      <c r="DI14" s="21">
        <f>IF(J13=9,32,0)</f>
        <v>0</v>
      </c>
      <c r="DJ14" s="21">
        <f>IF(J13=10,31,0)</f>
        <v>0</v>
      </c>
      <c r="DK14" s="21">
        <f>IF(J13=11,30,0)</f>
        <v>0</v>
      </c>
      <c r="DL14" s="21">
        <f>IF(J13=12,29,0)</f>
        <v>0</v>
      </c>
      <c r="DM14" s="21">
        <f>IF(J13=13,28,0)</f>
        <v>0</v>
      </c>
      <c r="DN14" s="21">
        <f>IF(J13=14,27,0)</f>
        <v>0</v>
      </c>
      <c r="DO14" s="21">
        <f>IF(J13=15,26,0)</f>
        <v>0</v>
      </c>
      <c r="DP14" s="21">
        <f>IF(J13=16,25,0)</f>
        <v>0</v>
      </c>
      <c r="DQ14" s="21">
        <f>IF(J13=17,24,0)</f>
        <v>0</v>
      </c>
      <c r="DR14" s="21">
        <f>IF(J13=18,23,0)</f>
        <v>0</v>
      </c>
      <c r="DS14" s="21">
        <f>IF(J13=19,22,0)</f>
        <v>0</v>
      </c>
      <c r="DT14" s="21">
        <f>IF(J13=20,21,0)</f>
        <v>0</v>
      </c>
      <c r="DU14" s="21">
        <f>IF(J13=21,20,0)</f>
        <v>0</v>
      </c>
      <c r="DV14" s="21">
        <f>IF(J13=22,19,0)</f>
        <v>0</v>
      </c>
      <c r="DW14" s="21">
        <f>IF(J13=23,18,0)</f>
        <v>0</v>
      </c>
      <c r="DX14" s="21">
        <f>IF(J13=24,17,0)</f>
        <v>0</v>
      </c>
      <c r="DY14" s="21">
        <f>IF(J13=25,16,0)</f>
        <v>0</v>
      </c>
      <c r="DZ14" s="21">
        <f>IF(J13=26,15,0)</f>
        <v>0</v>
      </c>
      <c r="EA14" s="21">
        <f>IF(J13=27,14,0)</f>
        <v>0</v>
      </c>
      <c r="EB14" s="21">
        <f>IF(J13=28,13,0)</f>
        <v>0</v>
      </c>
      <c r="EC14" s="21">
        <f>IF(J13=29,12,0)</f>
        <v>0</v>
      </c>
      <c r="ED14" s="21">
        <f>IF(J13=30,11,0)</f>
        <v>0</v>
      </c>
      <c r="EE14" s="21">
        <f>IF(J13=31,10,0)</f>
        <v>0</v>
      </c>
      <c r="EF14" s="21">
        <f>IF(J13=32,9,0)</f>
        <v>0</v>
      </c>
      <c r="EG14" s="21">
        <f>IF(J13=33,8,0)</f>
        <v>0</v>
      </c>
      <c r="EH14" s="21">
        <f>IF(J13=34,7,0)</f>
        <v>0</v>
      </c>
      <c r="EI14" s="21">
        <f>IF(J13=35,6,0)</f>
        <v>0</v>
      </c>
      <c r="EJ14" s="21">
        <f>IF(J13=36,5,0)</f>
        <v>0</v>
      </c>
      <c r="EK14" s="21">
        <f>IF(J13=37,4,0)</f>
        <v>0</v>
      </c>
      <c r="EL14" s="21">
        <f>IF(J13=38,3,0)</f>
        <v>0</v>
      </c>
      <c r="EM14" s="21">
        <f>IF(J13=39,2,0)</f>
        <v>0</v>
      </c>
      <c r="EN14" s="21">
        <f>IF(J13=40,1,0)</f>
        <v>0</v>
      </c>
      <c r="EO14" s="21">
        <f>IF(J13&gt;20,0,0)</f>
        <v>0</v>
      </c>
      <c r="EP14" s="21">
        <f>IF(J13="сх",0,0)</f>
        <v>0</v>
      </c>
      <c r="EQ14" s="21">
        <f>SUM(DA14:EP14)</f>
        <v>38</v>
      </c>
      <c r="ER14" s="21"/>
      <c r="ES14" s="21">
        <f>IF(H13="сх","ноль",IF(H13&gt;0,H13,"Ноль"))</f>
        <v>4</v>
      </c>
      <c r="ET14" s="21">
        <f>IF(J13="сх","ноль",IF(J13&gt;0,J13,"Ноль"))</f>
        <v>4</v>
      </c>
      <c r="EU14" s="21"/>
      <c r="EV14" s="21">
        <f>MIN(ES14,ET14)</f>
        <v>4</v>
      </c>
      <c r="EW14" s="21" t="e">
        <f>IF(L13=#REF!,IF(J13&lt;#REF!,#REF!,FA14),#REF!)</f>
        <v>#REF!</v>
      </c>
      <c r="EX14" s="21" t="e">
        <f>IF(L13=#REF!,IF(J13&lt;#REF!,0,1))</f>
        <v>#REF!</v>
      </c>
      <c r="EY14" s="21" t="e">
        <f>IF(AND(EV14&gt;=21,EV14&lt;&gt;0),EV14,IF(L13&lt;#REF!,"СТОП",EW14+EX14))</f>
        <v>#REF!</v>
      </c>
      <c r="EZ14" s="21"/>
      <c r="FA14" s="21">
        <v>25</v>
      </c>
      <c r="FB14" s="21">
        <v>26</v>
      </c>
      <c r="FC14" s="21"/>
      <c r="FD14" s="23">
        <f>IF(H13=1,25,0)</f>
        <v>0</v>
      </c>
      <c r="FE14" s="23">
        <f>IF(H13=2,22,0)</f>
        <v>0</v>
      </c>
      <c r="FF14" s="23">
        <f>IF(H13=3,20,0)</f>
        <v>0</v>
      </c>
      <c r="FG14" s="23">
        <f>IF(H13=4,18,0)</f>
        <v>18</v>
      </c>
      <c r="FH14" s="23">
        <f>IF(H13=5,16,0)</f>
        <v>0</v>
      </c>
      <c r="FI14" s="23">
        <f>IF(H13=6,15,0)</f>
        <v>0</v>
      </c>
      <c r="FJ14" s="23">
        <f>IF(H13=7,14,0)</f>
        <v>0</v>
      </c>
      <c r="FK14" s="23">
        <f>IF(H13=8,13,0)</f>
        <v>0</v>
      </c>
      <c r="FL14" s="23">
        <f>IF(H13=9,12,0)</f>
        <v>0</v>
      </c>
      <c r="FM14" s="23">
        <f>IF(H13=10,11,0)</f>
        <v>0</v>
      </c>
      <c r="FN14" s="23">
        <f>IF(H13=11,10,0)</f>
        <v>0</v>
      </c>
      <c r="FO14" s="23">
        <f>IF(H13=12,9,0)</f>
        <v>0</v>
      </c>
      <c r="FP14" s="23">
        <f>IF(H13=13,8,0)</f>
        <v>0</v>
      </c>
      <c r="FQ14" s="23">
        <f>IF(H13=14,7,0)</f>
        <v>0</v>
      </c>
      <c r="FR14" s="23">
        <f>IF(H13=15,6,0)</f>
        <v>0</v>
      </c>
      <c r="FS14" s="23">
        <f>IF(H13=16,5,0)</f>
        <v>0</v>
      </c>
      <c r="FT14" s="23">
        <f>IF(H13=17,4,0)</f>
        <v>0</v>
      </c>
      <c r="FU14" s="23">
        <f>IF(H13=18,3,0)</f>
        <v>0</v>
      </c>
      <c r="FV14" s="23">
        <f>IF(H13=19,2,0)</f>
        <v>0</v>
      </c>
      <c r="FW14" s="23">
        <f>IF(H13=20,1,0)</f>
        <v>0</v>
      </c>
      <c r="FX14" s="23">
        <f>IF(H13&gt;20,0,0)</f>
        <v>0</v>
      </c>
      <c r="FY14" s="23">
        <f>IF(H13="сх",0,0)</f>
        <v>0</v>
      </c>
      <c r="FZ14" s="23">
        <f>SUM(FD14:FY14)</f>
        <v>18</v>
      </c>
      <c r="GA14" s="23">
        <f>IF(J13=1,25,0)</f>
        <v>0</v>
      </c>
      <c r="GB14" s="23">
        <f>IF(J13=2,22,0)</f>
        <v>0</v>
      </c>
      <c r="GC14" s="23">
        <f>IF(J13=3,20,0)</f>
        <v>0</v>
      </c>
      <c r="GD14" s="23">
        <f>IF(J13=4,18,0)</f>
        <v>18</v>
      </c>
      <c r="GE14" s="23">
        <f>IF(J13=5,16,0)</f>
        <v>0</v>
      </c>
      <c r="GF14" s="23">
        <f>IF(J13=6,15,0)</f>
        <v>0</v>
      </c>
      <c r="GG14" s="23">
        <f>IF(J13=7,14,0)</f>
        <v>0</v>
      </c>
      <c r="GH14" s="23">
        <f>IF(J13=8,13,0)</f>
        <v>0</v>
      </c>
      <c r="GI14" s="23">
        <f>IF(J13=9,12,0)</f>
        <v>0</v>
      </c>
      <c r="GJ14" s="23">
        <f>IF(J13=10,11,0)</f>
        <v>0</v>
      </c>
      <c r="GK14" s="23">
        <f>IF(J13=11,10,0)</f>
        <v>0</v>
      </c>
      <c r="GL14" s="23">
        <f>IF(J13=12,9,0)</f>
        <v>0</v>
      </c>
      <c r="GM14" s="23">
        <f>IF(J13=13,8,0)</f>
        <v>0</v>
      </c>
      <c r="GN14" s="23">
        <f>IF(J13=14,7,0)</f>
        <v>0</v>
      </c>
      <c r="GO14" s="23">
        <f>IF(J13=15,6,0)</f>
        <v>0</v>
      </c>
      <c r="GP14" s="23">
        <f>IF(J13=16,5,0)</f>
        <v>0</v>
      </c>
      <c r="GQ14" s="23">
        <f>IF(J13=17,4,0)</f>
        <v>0</v>
      </c>
      <c r="GR14" s="23">
        <f>IF(J13=18,3,0)</f>
        <v>0</v>
      </c>
      <c r="GS14" s="23">
        <f>IF(J13=19,2,0)</f>
        <v>0</v>
      </c>
      <c r="GT14" s="23">
        <f>IF(J13=20,1,0)</f>
        <v>0</v>
      </c>
      <c r="GU14" s="23">
        <f>IF(J13&gt;20,0,0)</f>
        <v>0</v>
      </c>
      <c r="GV14" s="23">
        <f>IF(J13="сх",0,0)</f>
        <v>0</v>
      </c>
      <c r="GW14" s="23">
        <f>SUM(GA14:GV14)</f>
        <v>18</v>
      </c>
      <c r="GX14" s="23">
        <f>IF(H13=1,100,0)</f>
        <v>0</v>
      </c>
      <c r="GY14" s="23">
        <f>IF(H13=2,98,0)</f>
        <v>0</v>
      </c>
      <c r="GZ14" s="23">
        <f>IF(H13=3,95,0)</f>
        <v>0</v>
      </c>
      <c r="HA14" s="23">
        <f>IF(H13=4,93,0)</f>
        <v>93</v>
      </c>
      <c r="HB14" s="23">
        <f>IF(H13=5,90,0)</f>
        <v>0</v>
      </c>
      <c r="HC14" s="23">
        <f>IF(H13=6,88,0)</f>
        <v>0</v>
      </c>
      <c r="HD14" s="23">
        <f>IF(H13=7,85,0)</f>
        <v>0</v>
      </c>
      <c r="HE14" s="23">
        <f>IF(H13=8,83,0)</f>
        <v>0</v>
      </c>
      <c r="HF14" s="23">
        <f>IF(H13=9,80,0)</f>
        <v>0</v>
      </c>
      <c r="HG14" s="23">
        <f>IF(H13=10,78,0)</f>
        <v>0</v>
      </c>
      <c r="HH14" s="23">
        <f>IF(H13=11,75,0)</f>
        <v>0</v>
      </c>
      <c r="HI14" s="23">
        <f>IF(H13=12,73,0)</f>
        <v>0</v>
      </c>
      <c r="HJ14" s="23">
        <f>IF(H13=13,70,0)</f>
        <v>0</v>
      </c>
      <c r="HK14" s="23">
        <f>IF(H13=14,68,0)</f>
        <v>0</v>
      </c>
      <c r="HL14" s="23">
        <f>IF(H13=15,65,0)</f>
        <v>0</v>
      </c>
      <c r="HM14" s="23">
        <f>IF(H13=16,63,0)</f>
        <v>0</v>
      </c>
      <c r="HN14" s="23">
        <f>IF(H13=17,60,0)</f>
        <v>0</v>
      </c>
      <c r="HO14" s="23">
        <f>IF(H13=18,58,0)</f>
        <v>0</v>
      </c>
      <c r="HP14" s="23">
        <f>IF(H13=19,55,0)</f>
        <v>0</v>
      </c>
      <c r="HQ14" s="23">
        <f>IF(H13=20,53,0)</f>
        <v>0</v>
      </c>
      <c r="HR14" s="23">
        <f>IF(H13&gt;20,0,0)</f>
        <v>0</v>
      </c>
      <c r="HS14" s="23">
        <f>IF(H13="сх",0,0)</f>
        <v>0</v>
      </c>
      <c r="HT14" s="23">
        <f>SUM(GX14:HS14)</f>
        <v>93</v>
      </c>
      <c r="HU14" s="23">
        <f>IF(J13=1,100,0)</f>
        <v>0</v>
      </c>
      <c r="HV14" s="23">
        <f>IF(J13=2,98,0)</f>
        <v>0</v>
      </c>
      <c r="HW14" s="23">
        <f>IF(J13=3,95,0)</f>
        <v>0</v>
      </c>
      <c r="HX14" s="23">
        <f>IF(J13=4,93,0)</f>
        <v>93</v>
      </c>
      <c r="HY14" s="23">
        <f>IF(J13=5,90,0)</f>
        <v>0</v>
      </c>
      <c r="HZ14" s="23">
        <f>IF(J13=6,88,0)</f>
        <v>0</v>
      </c>
      <c r="IA14" s="23">
        <f>IF(J13=7,85,0)</f>
        <v>0</v>
      </c>
      <c r="IB14" s="23">
        <f>IF(J13=8,83,0)</f>
        <v>0</v>
      </c>
      <c r="IC14" s="23">
        <f>IF(J13=9,80,0)</f>
        <v>0</v>
      </c>
      <c r="ID14" s="23">
        <f>IF(J13=10,78,0)</f>
        <v>0</v>
      </c>
      <c r="IE14" s="23">
        <f>IF(J13=11,75,0)</f>
        <v>0</v>
      </c>
      <c r="IF14" s="23">
        <f>IF(J13=12,73,0)</f>
        <v>0</v>
      </c>
      <c r="IG14" s="23">
        <f>IF(J13=13,70,0)</f>
        <v>0</v>
      </c>
      <c r="IH14" s="23">
        <f>IF(J13=14,68,0)</f>
        <v>0</v>
      </c>
      <c r="II14" s="23">
        <f>IF(J13=15,65,0)</f>
        <v>0</v>
      </c>
      <c r="IJ14" s="23">
        <f>IF(J13=16,63,0)</f>
        <v>0</v>
      </c>
      <c r="IK14" s="23">
        <f>IF(J13=17,60,0)</f>
        <v>0</v>
      </c>
      <c r="IL14" s="23">
        <f>IF(J13=18,58,0)</f>
        <v>0</v>
      </c>
      <c r="IM14" s="23">
        <f>IF(J13=19,55,0)</f>
        <v>0</v>
      </c>
      <c r="IN14" s="23">
        <f>IF(J13=20,53,0)</f>
        <v>0</v>
      </c>
      <c r="IO14" s="23">
        <f>IF(J13&gt;20,0,0)</f>
        <v>0</v>
      </c>
      <c r="IP14" s="23">
        <f>IF(J13="сх",0,0)</f>
        <v>0</v>
      </c>
      <c r="IQ14" s="23">
        <f>SUM(HU14:IP14)</f>
        <v>93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369</v>
      </c>
      <c r="C15" s="46" t="s">
        <v>183</v>
      </c>
      <c r="D15" s="41" t="s">
        <v>31</v>
      </c>
      <c r="E15" s="46" t="s">
        <v>162</v>
      </c>
      <c r="F15" s="50" t="s">
        <v>30</v>
      </c>
      <c r="G15" s="48" t="s">
        <v>40</v>
      </c>
      <c r="H15" s="41">
        <v>6</v>
      </c>
      <c r="I15" s="27">
        <v>15</v>
      </c>
      <c r="J15" s="41">
        <v>6</v>
      </c>
      <c r="K15" s="27">
        <v>15</v>
      </c>
      <c r="L15" s="42">
        <f t="shared" si="0"/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41">
        <v>6</v>
      </c>
      <c r="C16" s="46" t="s">
        <v>161</v>
      </c>
      <c r="D16" s="41" t="s">
        <v>31</v>
      </c>
      <c r="E16" s="46" t="s">
        <v>36</v>
      </c>
      <c r="F16" s="50" t="s">
        <v>30</v>
      </c>
      <c r="G16" s="48" t="s">
        <v>40</v>
      </c>
      <c r="H16" s="41">
        <v>7</v>
      </c>
      <c r="I16" s="27">
        <v>14</v>
      </c>
      <c r="J16" s="41">
        <v>7</v>
      </c>
      <c r="K16" s="27">
        <v>14</v>
      </c>
      <c r="L16" s="42">
        <f t="shared" si="0"/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41"/>
      <c r="C17" s="46"/>
      <c r="D17" s="41"/>
      <c r="E17" s="46"/>
      <c r="F17" s="50"/>
      <c r="G17" s="48"/>
      <c r="H17" s="41"/>
      <c r="I17" s="27"/>
      <c r="J17" s="41"/>
      <c r="K17" s="27"/>
      <c r="L17" s="42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41"/>
      <c r="C18" s="46"/>
      <c r="D18" s="41"/>
      <c r="E18" s="46"/>
      <c r="F18" s="50"/>
      <c r="G18" s="48"/>
      <c r="H18" s="41"/>
      <c r="I18" s="27"/>
      <c r="J18" s="41"/>
      <c r="K18" s="27"/>
      <c r="L18" s="42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41"/>
      <c r="C19" s="46"/>
      <c r="D19" s="41"/>
      <c r="E19" s="46"/>
      <c r="F19" s="50"/>
      <c r="G19" s="48"/>
      <c r="H19" s="41"/>
      <c r="I19" s="27"/>
      <c r="J19" s="41"/>
      <c r="K19" s="27"/>
      <c r="L19" s="42"/>
    </row>
    <row r="20" spans="1:256" s="3" customFormat="1" ht="15.75" customHeight="1">
      <c r="A20" s="71" t="s">
        <v>23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71" t="s">
        <v>141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71" t="s">
        <v>44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1" t="s">
        <v>53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3:256" ht="12.75"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30" ht="12.75">
      <c r="F30"/>
    </row>
    <row r="31" spans="10:152" ht="12.75">
      <c r="J31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14:152" ht="12.75"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4:152" ht="12.75">
      <c r="N33" s="1"/>
      <c r="DP33"/>
      <c r="DQ33"/>
      <c r="DR33"/>
      <c r="DX33" s="1"/>
      <c r="DY33" s="1"/>
      <c r="DZ33" s="1"/>
      <c r="EJ33" s="2"/>
      <c r="EK33" s="2"/>
      <c r="EL33" s="2"/>
      <c r="EM33" s="2"/>
      <c r="EN33" s="2"/>
      <c r="ER33" s="1"/>
      <c r="ES33" s="1"/>
      <c r="ET33" s="1"/>
      <c r="EU33" s="1"/>
      <c r="EV33" s="1"/>
    </row>
    <row r="34" spans="14:152" ht="12.75">
      <c r="N34" s="1"/>
      <c r="DP34"/>
      <c r="DQ34"/>
      <c r="DR34"/>
      <c r="DX34" s="1"/>
      <c r="DY34" s="1"/>
      <c r="DZ34" s="1"/>
      <c r="EJ34" s="2"/>
      <c r="EK34" s="2"/>
      <c r="EL34" s="2"/>
      <c r="EM34" s="2"/>
      <c r="EN34" s="2"/>
      <c r="ER34" s="1"/>
      <c r="ES34" s="1"/>
      <c r="ET34" s="1"/>
      <c r="EU34" s="1"/>
      <c r="EV34" s="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1:L21"/>
    <mergeCell ref="M7:M9"/>
    <mergeCell ref="H8:H9"/>
    <mergeCell ref="I8:I9"/>
    <mergeCell ref="J8:J9"/>
    <mergeCell ref="K8:K9"/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</mergeCells>
  <printOptions horizontalCentered="1"/>
  <pageMargins left="0.011446886446886446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7"/>
  <sheetViews>
    <sheetView zoomScale="95" zoomScaleNormal="95" zoomScalePageLayoutView="0" workbookViewId="0" topLeftCell="A4">
      <selection activeCell="D21" sqref="D21"/>
    </sheetView>
  </sheetViews>
  <sheetFormatPr defaultColWidth="9.140625" defaultRowHeight="12.75"/>
  <cols>
    <col min="1" max="1" width="11.00390625" style="0" customWidth="1"/>
    <col min="2" max="2" width="25.8515625" style="0" customWidth="1"/>
    <col min="3" max="5" width="23.57421875" style="0" customWidth="1"/>
    <col min="6" max="6" width="16.57421875" style="0" customWidth="1"/>
    <col min="7" max="7" width="17.421875" style="0" customWidth="1"/>
    <col min="8" max="8" width="9.57421875" style="0" customWidth="1"/>
    <col min="9" max="9" width="5.7109375" style="0" customWidth="1"/>
    <col min="10" max="10" width="5.421875" style="0" customWidth="1"/>
    <col min="11" max="11" width="5.7109375" style="0" customWidth="1"/>
    <col min="12" max="12" width="4.7109375" style="0" customWidth="1"/>
    <col min="244" max="244" width="9.140625" style="0" customWidth="1"/>
  </cols>
  <sheetData>
    <row r="1" spans="1:13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9"/>
    </row>
    <row r="3" spans="1:14" ht="12.75" customHeight="1">
      <c r="A3" s="114" t="s">
        <v>202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61"/>
    </row>
    <row r="4" spans="1:14" ht="18" customHeight="1">
      <c r="A4" s="114" t="s">
        <v>159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25.5" customHeight="1" thickBot="1">
      <c r="A5" s="63"/>
      <c r="B5" s="84" t="s">
        <v>205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62"/>
    </row>
    <row r="6" spans="1:249" s="1" customFormat="1" ht="12" customHeight="1">
      <c r="A6" s="111" t="s">
        <v>22</v>
      </c>
      <c r="B6" s="103" t="s">
        <v>26</v>
      </c>
      <c r="C6" s="103" t="s">
        <v>25</v>
      </c>
      <c r="D6" s="108" t="s">
        <v>158</v>
      </c>
      <c r="E6" s="108" t="s">
        <v>157</v>
      </c>
      <c r="F6" s="105" t="s">
        <v>155</v>
      </c>
      <c r="G6" s="5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5"/>
      <c r="DR6" s="5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7"/>
      <c r="EL6" s="7"/>
      <c r="EM6" s="7"/>
      <c r="EN6" s="7"/>
      <c r="EO6" s="7"/>
      <c r="EP6" s="6"/>
      <c r="EQ6" s="6"/>
      <c r="ER6" s="6"/>
      <c r="ES6" s="7"/>
      <c r="ET6" s="6"/>
      <c r="EU6" s="6"/>
      <c r="EV6" s="6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3"/>
      <c r="IL6" s="12"/>
      <c r="IM6" s="12"/>
      <c r="IN6" s="12"/>
      <c r="IO6" s="6"/>
    </row>
    <row r="7" spans="1:249" s="1" customFormat="1" ht="9.75" customHeight="1">
      <c r="A7" s="112"/>
      <c r="B7" s="113"/>
      <c r="C7" s="104"/>
      <c r="D7" s="109"/>
      <c r="E7" s="109"/>
      <c r="F7" s="106"/>
      <c r="G7" s="5"/>
      <c r="H7" s="1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/>
      <c r="EM7" s="7"/>
      <c r="EN7" s="7"/>
      <c r="EO7" s="7"/>
      <c r="EP7" s="6"/>
      <c r="EQ7" s="6"/>
      <c r="ER7" s="6"/>
      <c r="ES7" s="6"/>
      <c r="ET7" s="6"/>
      <c r="EU7" s="6"/>
      <c r="EV7" s="6"/>
      <c r="EW7" s="10"/>
      <c r="EX7" s="10"/>
      <c r="EY7" s="10"/>
      <c r="EZ7" s="11"/>
      <c r="FA7" s="11"/>
      <c r="FB7" s="11"/>
      <c r="FC7" s="11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6"/>
    </row>
    <row r="8" spans="1:249" s="1" customFormat="1" ht="27.75" customHeight="1">
      <c r="A8" s="112"/>
      <c r="B8" s="113"/>
      <c r="C8" s="104"/>
      <c r="D8" s="110"/>
      <c r="E8" s="110"/>
      <c r="F8" s="107"/>
      <c r="G8" s="5"/>
      <c r="H8" s="1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7"/>
      <c r="EL8" s="7"/>
      <c r="EM8" s="7"/>
      <c r="EN8" s="7"/>
      <c r="EO8" s="7"/>
      <c r="EP8" s="6"/>
      <c r="EQ8" s="6"/>
      <c r="ER8" s="19"/>
      <c r="ES8" s="6"/>
      <c r="ET8" s="6"/>
      <c r="EU8" s="6"/>
      <c r="EV8" s="6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2"/>
      <c r="IM8" s="12"/>
      <c r="IN8" s="12"/>
      <c r="IO8" s="12"/>
    </row>
    <row r="9" spans="1:249" s="3" customFormat="1" ht="33" customHeight="1">
      <c r="A9" s="58">
        <v>1</v>
      </c>
      <c r="B9" s="60" t="s">
        <v>160</v>
      </c>
      <c r="C9" s="59" t="s">
        <v>55</v>
      </c>
      <c r="D9" s="59">
        <v>168</v>
      </c>
      <c r="E9" s="59">
        <v>168</v>
      </c>
      <c r="F9" s="70">
        <f>D9+E9</f>
        <v>336</v>
      </c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1"/>
      <c r="IL9" s="21"/>
      <c r="IM9" s="21"/>
      <c r="IN9" s="21"/>
      <c r="IO9" s="23"/>
    </row>
    <row r="10" spans="1:249" s="3" customFormat="1" ht="33" customHeight="1">
      <c r="A10" s="58">
        <v>2</v>
      </c>
      <c r="B10" s="60" t="s">
        <v>153</v>
      </c>
      <c r="C10" s="59" t="s">
        <v>156</v>
      </c>
      <c r="D10" s="59">
        <v>159</v>
      </c>
      <c r="E10" s="59">
        <v>164</v>
      </c>
      <c r="F10" s="70">
        <f>D10+E10</f>
        <v>323</v>
      </c>
      <c r="G10" s="21"/>
      <c r="H10" s="22"/>
      <c r="I10" s="21"/>
      <c r="J10" s="21"/>
      <c r="K10" s="3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13" ht="33" customHeight="1">
      <c r="A11" s="58">
        <v>3</v>
      </c>
      <c r="B11" s="60" t="s">
        <v>182</v>
      </c>
      <c r="C11" s="59" t="s">
        <v>55</v>
      </c>
      <c r="D11" s="59">
        <v>146</v>
      </c>
      <c r="E11" s="59">
        <v>148</v>
      </c>
      <c r="F11" s="70">
        <f>D11+E11</f>
        <v>294</v>
      </c>
      <c r="G11" s="33"/>
      <c r="H11" s="33"/>
      <c r="I11" s="33"/>
      <c r="J11" s="33"/>
      <c r="L11" s="33"/>
      <c r="M11" s="33"/>
    </row>
    <row r="13" spans="1:11" ht="15.75">
      <c r="A13" s="71" t="s">
        <v>23</v>
      </c>
      <c r="B13" s="71"/>
      <c r="C13" s="71"/>
      <c r="D13" s="71"/>
      <c r="E13" s="71"/>
      <c r="F13" s="71"/>
      <c r="G13" s="71"/>
      <c r="H13" s="71"/>
      <c r="I13" s="71"/>
      <c r="J13" s="71"/>
      <c r="K13" s="32"/>
    </row>
    <row r="14" spans="1:11" ht="15.75">
      <c r="A14" s="71" t="s">
        <v>138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5.75">
      <c r="A15" s="33"/>
      <c r="B15" s="33"/>
      <c r="C15" s="33"/>
      <c r="D15" s="33"/>
      <c r="E15" s="33"/>
      <c r="F15" s="34"/>
      <c r="G15" s="33"/>
      <c r="H15" s="33"/>
      <c r="I15" s="33"/>
      <c r="J15" s="33"/>
      <c r="K15" s="32"/>
    </row>
    <row r="16" spans="1:11" ht="15.75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32"/>
    </row>
    <row r="17" spans="1:11" ht="15.75">
      <c r="A17" s="71" t="s">
        <v>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</sheetData>
  <sheetProtection/>
  <mergeCells count="14">
    <mergeCell ref="A2:M2"/>
    <mergeCell ref="A3:M3"/>
    <mergeCell ref="A4:N4"/>
    <mergeCell ref="B5:M5"/>
    <mergeCell ref="A17:K17"/>
    <mergeCell ref="A13:J13"/>
    <mergeCell ref="A14:K14"/>
    <mergeCell ref="A16:J16"/>
    <mergeCell ref="C6:C8"/>
    <mergeCell ref="F6:F8"/>
    <mergeCell ref="D6:D8"/>
    <mergeCell ref="E6:E8"/>
    <mergeCell ref="A6:A8"/>
    <mergeCell ref="B6:B8"/>
  </mergeCells>
  <printOptions/>
  <pageMargins left="0.1968503937007874" right="0.11811023622047245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6"/>
  <sheetViews>
    <sheetView view="pageLayout" zoomScale="91" zoomScalePageLayoutView="91" workbookViewId="0" topLeftCell="A4">
      <selection activeCell="A21" sqref="A21:L2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83" t="s">
        <v>204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  <c r="M2" s="8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0"/>
      <c r="M3" s="8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4" t="s">
        <v>205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5" t="s">
        <v>59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74"/>
      <c r="J7" s="72" t="s">
        <v>4</v>
      </c>
      <c r="K7" s="74"/>
      <c r="L7" s="75" t="s">
        <v>29</v>
      </c>
      <c r="M7" s="76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3"/>
      <c r="B8" s="72"/>
      <c r="C8" s="72"/>
      <c r="D8" s="73"/>
      <c r="E8" s="73"/>
      <c r="F8" s="72"/>
      <c r="G8" s="73"/>
      <c r="H8" s="72" t="s">
        <v>11</v>
      </c>
      <c r="I8" s="79" t="s">
        <v>24</v>
      </c>
      <c r="J8" s="72" t="s">
        <v>11</v>
      </c>
      <c r="K8" s="79" t="s">
        <v>24</v>
      </c>
      <c r="L8" s="75"/>
      <c r="M8" s="77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3"/>
      <c r="B9" s="72"/>
      <c r="C9" s="72"/>
      <c r="D9" s="73"/>
      <c r="E9" s="73"/>
      <c r="F9" s="72"/>
      <c r="G9" s="73"/>
      <c r="H9" s="73"/>
      <c r="I9" s="80"/>
      <c r="J9" s="73"/>
      <c r="K9" s="80"/>
      <c r="L9" s="75"/>
      <c r="M9" s="78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61</v>
      </c>
      <c r="C10" s="46" t="s">
        <v>106</v>
      </c>
      <c r="D10" s="41" t="s">
        <v>31</v>
      </c>
      <c r="E10" s="46" t="s">
        <v>35</v>
      </c>
      <c r="F10" s="50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f aca="true" t="shared" si="0" ref="L10:L17">I10+K10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17</v>
      </c>
      <c r="C11" s="46" t="s">
        <v>207</v>
      </c>
      <c r="D11" s="41" t="s">
        <v>31</v>
      </c>
      <c r="E11" s="46" t="s">
        <v>36</v>
      </c>
      <c r="F11" s="50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88</v>
      </c>
      <c r="C12" s="46" t="s">
        <v>149</v>
      </c>
      <c r="D12" s="41" t="s">
        <v>31</v>
      </c>
      <c r="E12" s="46" t="s">
        <v>36</v>
      </c>
      <c r="F12" s="50" t="s">
        <v>30</v>
      </c>
      <c r="G12" s="48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f t="shared" si="0"/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7</v>
      </c>
      <c r="C13" s="47" t="s">
        <v>122</v>
      </c>
      <c r="D13" s="41" t="s">
        <v>31</v>
      </c>
      <c r="E13" s="46" t="s">
        <v>94</v>
      </c>
      <c r="F13" s="50" t="s">
        <v>30</v>
      </c>
      <c r="G13" s="48" t="s">
        <v>40</v>
      </c>
      <c r="H13" s="41">
        <v>4</v>
      </c>
      <c r="I13" s="27">
        <v>18</v>
      </c>
      <c r="J13" s="41">
        <v>4</v>
      </c>
      <c r="K13" s="27">
        <v>18</v>
      </c>
      <c r="L13" s="42">
        <f t="shared" si="0"/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85</v>
      </c>
      <c r="C14" s="46" t="s">
        <v>124</v>
      </c>
      <c r="D14" s="41" t="s">
        <v>31</v>
      </c>
      <c r="E14" s="46" t="s">
        <v>125</v>
      </c>
      <c r="F14" s="50" t="s">
        <v>30</v>
      </c>
      <c r="G14" s="48" t="s">
        <v>40</v>
      </c>
      <c r="H14" s="41">
        <v>5</v>
      </c>
      <c r="I14" s="27">
        <v>16</v>
      </c>
      <c r="J14" s="41">
        <v>5</v>
      </c>
      <c r="K14" s="27">
        <v>16</v>
      </c>
      <c r="L14" s="42">
        <f t="shared" si="0"/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50</v>
      </c>
      <c r="C15" s="46" t="s">
        <v>126</v>
      </c>
      <c r="D15" s="41" t="s">
        <v>31</v>
      </c>
      <c r="E15" s="46" t="s">
        <v>36</v>
      </c>
      <c r="F15" s="50" t="s">
        <v>30</v>
      </c>
      <c r="G15" s="48" t="s">
        <v>40</v>
      </c>
      <c r="H15" s="41">
        <v>6</v>
      </c>
      <c r="I15" s="27">
        <v>15</v>
      </c>
      <c r="J15" s="41">
        <v>6</v>
      </c>
      <c r="K15" s="27">
        <v>15</v>
      </c>
      <c r="L15" s="42">
        <f t="shared" si="0"/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41">
        <v>71</v>
      </c>
      <c r="C16" s="46" t="s">
        <v>148</v>
      </c>
      <c r="D16" s="41" t="s">
        <v>31</v>
      </c>
      <c r="E16" s="46" t="s">
        <v>163</v>
      </c>
      <c r="F16" s="50" t="s">
        <v>30</v>
      </c>
      <c r="G16" s="48" t="s">
        <v>40</v>
      </c>
      <c r="H16" s="41">
        <v>7</v>
      </c>
      <c r="I16" s="27">
        <v>14</v>
      </c>
      <c r="J16" s="41">
        <v>7</v>
      </c>
      <c r="K16" s="27">
        <v>14</v>
      </c>
      <c r="L16" s="42">
        <f t="shared" si="0"/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41">
        <v>11</v>
      </c>
      <c r="C17" s="46" t="s">
        <v>196</v>
      </c>
      <c r="D17" s="41" t="s">
        <v>31</v>
      </c>
      <c r="E17" s="46" t="s">
        <v>36</v>
      </c>
      <c r="F17" s="50" t="s">
        <v>30</v>
      </c>
      <c r="G17" s="48" t="s">
        <v>40</v>
      </c>
      <c r="H17" s="41">
        <v>8</v>
      </c>
      <c r="I17" s="27">
        <v>13</v>
      </c>
      <c r="J17" s="41">
        <v>8</v>
      </c>
      <c r="K17" s="27">
        <v>13</v>
      </c>
      <c r="L17" s="42">
        <f t="shared" si="0"/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54">
        <v>25</v>
      </c>
      <c r="C18" s="56" t="s">
        <v>151</v>
      </c>
      <c r="D18" s="54" t="s">
        <v>31</v>
      </c>
      <c r="E18" s="56" t="s">
        <v>36</v>
      </c>
      <c r="F18" s="65" t="s">
        <v>30</v>
      </c>
      <c r="G18" s="66" t="s">
        <v>40</v>
      </c>
      <c r="H18" s="54"/>
      <c r="I18" s="67"/>
      <c r="J18" s="54"/>
      <c r="K18" s="67"/>
      <c r="L18" s="68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41"/>
      <c r="C19" s="46"/>
      <c r="D19" s="41"/>
      <c r="E19" s="46"/>
      <c r="F19" s="50"/>
      <c r="G19" s="48"/>
      <c r="H19" s="41"/>
      <c r="I19" s="27"/>
      <c r="J19" s="41"/>
      <c r="K19" s="27"/>
      <c r="L19" s="42"/>
    </row>
    <row r="20" spans="1:256" s="3" customFormat="1" ht="15.75" customHeight="1">
      <c r="A20" s="71" t="s">
        <v>23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71" t="s">
        <v>141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71" t="s">
        <v>44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1" t="s">
        <v>53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3:256" ht="12.75"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3:256" ht="12.75"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2" ht="12.75">
      <c r="J32"/>
    </row>
    <row r="36" spans="14:152" ht="12.75"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</sheetData>
  <sheetProtection formatCells="0" formatColumns="0" formatRows="0" insertColumns="0" insertRows="0" insertHyperlinks="0" deleteColumns="0" deleteRows="0" autoFilter="0" pivotTables="0"/>
  <mergeCells count="24"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  <mergeCell ref="A21:L21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26"/>
  <sheetViews>
    <sheetView zoomScalePageLayoutView="0" workbookViewId="0" topLeftCell="A7">
      <selection activeCell="A19" sqref="A19:A2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83" t="s">
        <v>204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29"/>
    </row>
    <row r="4" spans="1:12" ht="15.75" customHeight="1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0"/>
    </row>
    <row r="5" spans="1:12" ht="15.75" customHeight="1">
      <c r="A5" s="84" t="s">
        <v>205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85" t="s">
        <v>48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2" t="s">
        <v>22</v>
      </c>
      <c r="B8" s="72" t="s">
        <v>0</v>
      </c>
      <c r="C8" s="72" t="s">
        <v>1</v>
      </c>
      <c r="D8" s="72" t="s">
        <v>28</v>
      </c>
      <c r="E8" s="72" t="s">
        <v>25</v>
      </c>
      <c r="F8" s="72" t="s">
        <v>26</v>
      </c>
      <c r="G8" s="72" t="s">
        <v>2</v>
      </c>
      <c r="H8" s="72" t="s">
        <v>3</v>
      </c>
      <c r="I8" s="74"/>
      <c r="J8" s="72" t="s">
        <v>4</v>
      </c>
      <c r="K8" s="74"/>
      <c r="L8" s="75" t="s">
        <v>29</v>
      </c>
    </row>
    <row r="9" spans="1:12" ht="12.75">
      <c r="A9" s="73"/>
      <c r="B9" s="72"/>
      <c r="C9" s="72"/>
      <c r="D9" s="73"/>
      <c r="E9" s="73"/>
      <c r="F9" s="72"/>
      <c r="G9" s="73"/>
      <c r="H9" s="72" t="s">
        <v>11</v>
      </c>
      <c r="I9" s="79" t="s">
        <v>24</v>
      </c>
      <c r="J9" s="72" t="s">
        <v>11</v>
      </c>
      <c r="K9" s="79" t="s">
        <v>24</v>
      </c>
      <c r="L9" s="75"/>
    </row>
    <row r="10" spans="1:12" ht="27" customHeight="1">
      <c r="A10" s="73"/>
      <c r="B10" s="72"/>
      <c r="C10" s="72"/>
      <c r="D10" s="73"/>
      <c r="E10" s="73"/>
      <c r="F10" s="72"/>
      <c r="G10" s="73"/>
      <c r="H10" s="73"/>
      <c r="I10" s="80"/>
      <c r="J10" s="73"/>
      <c r="K10" s="80"/>
      <c r="L10" s="75"/>
    </row>
    <row r="11" spans="1:12" ht="15.75">
      <c r="A11" s="51">
        <v>1</v>
      </c>
      <c r="B11" s="41">
        <v>99</v>
      </c>
      <c r="C11" s="46" t="s">
        <v>127</v>
      </c>
      <c r="D11" s="41" t="s">
        <v>70</v>
      </c>
      <c r="E11" s="46" t="s">
        <v>36</v>
      </c>
      <c r="F11" s="49" t="s">
        <v>160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f aca="true" t="shared" si="0" ref="L11:L20">I11+K11</f>
        <v>50</v>
      </c>
    </row>
    <row r="12" spans="1:12" ht="15.75">
      <c r="A12" s="51">
        <v>2</v>
      </c>
      <c r="B12" s="41">
        <v>7</v>
      </c>
      <c r="C12" s="47" t="s">
        <v>62</v>
      </c>
      <c r="D12" s="41" t="s">
        <v>56</v>
      </c>
      <c r="E12" s="46" t="s">
        <v>61</v>
      </c>
      <c r="F12" s="49" t="s">
        <v>30</v>
      </c>
      <c r="G12" s="41" t="s">
        <v>38</v>
      </c>
      <c r="H12" s="41">
        <v>2</v>
      </c>
      <c r="I12" s="27">
        <v>22</v>
      </c>
      <c r="J12" s="41">
        <v>3</v>
      </c>
      <c r="K12" s="27">
        <v>20</v>
      </c>
      <c r="L12" s="42">
        <f t="shared" si="0"/>
        <v>42</v>
      </c>
    </row>
    <row r="13" spans="1:256" s="3" customFormat="1" ht="15.75" customHeight="1">
      <c r="A13" s="51">
        <v>3</v>
      </c>
      <c r="B13" s="41">
        <v>1</v>
      </c>
      <c r="C13" s="46" t="s">
        <v>108</v>
      </c>
      <c r="D13" s="41" t="s">
        <v>31</v>
      </c>
      <c r="E13" s="46" t="s">
        <v>35</v>
      </c>
      <c r="F13" s="49" t="s">
        <v>153</v>
      </c>
      <c r="G13" s="41" t="s">
        <v>40</v>
      </c>
      <c r="H13" s="41">
        <v>4</v>
      </c>
      <c r="I13" s="27">
        <v>18</v>
      </c>
      <c r="J13" s="41">
        <v>2</v>
      </c>
      <c r="K13" s="27">
        <v>22</v>
      </c>
      <c r="L13" s="42">
        <f t="shared" si="0"/>
        <v>40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1">
        <v>4</v>
      </c>
      <c r="B14" s="41">
        <v>61</v>
      </c>
      <c r="C14" s="46" t="s">
        <v>106</v>
      </c>
      <c r="D14" s="41" t="s">
        <v>31</v>
      </c>
      <c r="E14" s="46" t="s">
        <v>35</v>
      </c>
      <c r="F14" s="49" t="s">
        <v>30</v>
      </c>
      <c r="G14" s="41" t="s">
        <v>38</v>
      </c>
      <c r="H14" s="41">
        <v>3</v>
      </c>
      <c r="I14" s="27">
        <v>20</v>
      </c>
      <c r="J14" s="41">
        <v>4</v>
      </c>
      <c r="K14" s="27">
        <v>18</v>
      </c>
      <c r="L14" s="42">
        <f t="shared" si="0"/>
        <v>38</v>
      </c>
    </row>
    <row r="15" spans="1:12" ht="15.75">
      <c r="A15" s="51">
        <v>5</v>
      </c>
      <c r="B15" s="41">
        <v>11</v>
      </c>
      <c r="C15" s="47" t="s">
        <v>208</v>
      </c>
      <c r="D15" s="41" t="s">
        <v>31</v>
      </c>
      <c r="E15" s="46" t="s">
        <v>163</v>
      </c>
      <c r="F15" s="49" t="s">
        <v>30</v>
      </c>
      <c r="G15" s="48" t="s">
        <v>41</v>
      </c>
      <c r="H15" s="41">
        <v>7</v>
      </c>
      <c r="I15" s="27">
        <v>14</v>
      </c>
      <c r="J15" s="41">
        <v>5</v>
      </c>
      <c r="K15" s="27">
        <v>16</v>
      </c>
      <c r="L15" s="42">
        <f t="shared" si="0"/>
        <v>30</v>
      </c>
    </row>
    <row r="16" spans="1:256" s="3" customFormat="1" ht="14.25" customHeight="1">
      <c r="A16" s="51">
        <v>6</v>
      </c>
      <c r="B16" s="41">
        <v>5</v>
      </c>
      <c r="C16" s="46" t="s">
        <v>209</v>
      </c>
      <c r="D16" s="41" t="s">
        <v>70</v>
      </c>
      <c r="E16" s="46" t="s">
        <v>36</v>
      </c>
      <c r="F16" s="49" t="s">
        <v>30</v>
      </c>
      <c r="G16" s="48" t="s">
        <v>41</v>
      </c>
      <c r="H16" s="41">
        <v>5</v>
      </c>
      <c r="I16" s="27">
        <v>16</v>
      </c>
      <c r="J16" s="41">
        <v>7</v>
      </c>
      <c r="K16" s="27">
        <v>14</v>
      </c>
      <c r="L16" s="42">
        <f t="shared" si="0"/>
        <v>30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1">
        <v>7</v>
      </c>
      <c r="B17" s="41">
        <v>500</v>
      </c>
      <c r="C17" s="47" t="s">
        <v>164</v>
      </c>
      <c r="D17" s="41" t="s">
        <v>31</v>
      </c>
      <c r="E17" s="46" t="s">
        <v>165</v>
      </c>
      <c r="F17" s="49" t="s">
        <v>30</v>
      </c>
      <c r="G17" s="41" t="s">
        <v>40</v>
      </c>
      <c r="H17" s="41">
        <v>6</v>
      </c>
      <c r="I17" s="27">
        <v>15</v>
      </c>
      <c r="J17" s="41">
        <v>6</v>
      </c>
      <c r="K17" s="27">
        <v>15</v>
      </c>
      <c r="L17" s="42">
        <f t="shared" si="0"/>
        <v>30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1">
        <v>8</v>
      </c>
      <c r="B18" s="41">
        <v>51</v>
      </c>
      <c r="C18" s="46" t="s">
        <v>79</v>
      </c>
      <c r="D18" s="41" t="s">
        <v>31</v>
      </c>
      <c r="E18" s="46" t="s">
        <v>36</v>
      </c>
      <c r="F18" s="49" t="s">
        <v>30</v>
      </c>
      <c r="G18" s="48" t="s">
        <v>39</v>
      </c>
      <c r="H18" s="41">
        <v>10</v>
      </c>
      <c r="I18" s="27">
        <v>11</v>
      </c>
      <c r="J18" s="41">
        <v>9</v>
      </c>
      <c r="K18" s="27">
        <v>12</v>
      </c>
      <c r="L18" s="42">
        <f t="shared" si="0"/>
        <v>23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1">
        <v>9</v>
      </c>
      <c r="B19" s="41">
        <v>3</v>
      </c>
      <c r="C19" s="46" t="s">
        <v>197</v>
      </c>
      <c r="D19" s="41" t="s">
        <v>31</v>
      </c>
      <c r="E19" s="46" t="s">
        <v>36</v>
      </c>
      <c r="F19" s="49" t="s">
        <v>30</v>
      </c>
      <c r="G19" s="41" t="s">
        <v>40</v>
      </c>
      <c r="H19" s="41">
        <v>9</v>
      </c>
      <c r="I19" s="27">
        <v>12</v>
      </c>
      <c r="J19" s="41">
        <v>10</v>
      </c>
      <c r="K19" s="27">
        <v>11</v>
      </c>
      <c r="L19" s="42">
        <f t="shared" si="0"/>
        <v>23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1">
        <v>10</v>
      </c>
      <c r="B20" s="41">
        <v>72</v>
      </c>
      <c r="C20" s="46" t="s">
        <v>210</v>
      </c>
      <c r="D20" s="41" t="s">
        <v>31</v>
      </c>
      <c r="E20" s="46" t="s">
        <v>211</v>
      </c>
      <c r="F20" s="49" t="s">
        <v>191</v>
      </c>
      <c r="G20" s="48" t="s">
        <v>40</v>
      </c>
      <c r="H20" s="41">
        <v>8</v>
      </c>
      <c r="I20" s="27">
        <v>13</v>
      </c>
      <c r="J20" s="41">
        <v>8</v>
      </c>
      <c r="K20" s="27"/>
      <c r="L20" s="42">
        <f t="shared" si="0"/>
        <v>13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1">
        <v>11</v>
      </c>
      <c r="B21" s="41"/>
      <c r="C21" s="46"/>
      <c r="D21" s="41"/>
      <c r="E21" s="46"/>
      <c r="F21" s="49"/>
      <c r="G21" s="48"/>
      <c r="H21" s="41"/>
      <c r="I21" s="27"/>
      <c r="J21" s="41"/>
      <c r="K21" s="27"/>
      <c r="L21" s="42"/>
    </row>
    <row r="22" spans="1:12" ht="15.75">
      <c r="A22" s="51">
        <v>12</v>
      </c>
      <c r="B22" s="41"/>
      <c r="C22" s="46"/>
      <c r="D22" s="41"/>
      <c r="E22" s="46"/>
      <c r="F22" s="50"/>
      <c r="G22" s="48"/>
      <c r="H22" s="41"/>
      <c r="I22" s="27"/>
      <c r="J22" s="41"/>
      <c r="K22" s="27"/>
      <c r="L22" s="42"/>
    </row>
    <row r="23" spans="2:152" ht="15.75">
      <c r="B23" s="33" t="s">
        <v>23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2"/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2:152" ht="15.75">
      <c r="B24" s="71" t="s">
        <v>141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2:152" ht="15.75">
      <c r="B25" s="71" t="s">
        <v>44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32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2:152" ht="15.75">
      <c r="B26" s="71" t="s">
        <v>53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</sheetData>
  <sheetProtection formatCells="0" formatColumns="0" formatRows="0" insertColumns="0" insertRows="0" insertHyperlinks="0" deleteColumns="0" deleteRows="0" autoFilter="0" pivotTables="0"/>
  <mergeCells count="21">
    <mergeCell ref="F8:F10"/>
    <mergeCell ref="L8:L10"/>
    <mergeCell ref="A8:A10"/>
    <mergeCell ref="B24:M24"/>
    <mergeCell ref="A3:K3"/>
    <mergeCell ref="A4:K4"/>
    <mergeCell ref="A5:L5"/>
    <mergeCell ref="A6:L6"/>
    <mergeCell ref="E8:E10"/>
    <mergeCell ref="G8:G10"/>
    <mergeCell ref="K9:K10"/>
    <mergeCell ref="B25:L25"/>
    <mergeCell ref="B26:M26"/>
    <mergeCell ref="C8:C10"/>
    <mergeCell ref="D8:D10"/>
    <mergeCell ref="H9:H10"/>
    <mergeCell ref="I9:I10"/>
    <mergeCell ref="J9:J10"/>
    <mergeCell ref="H8:I8"/>
    <mergeCell ref="B8:B10"/>
    <mergeCell ref="J8:K8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30"/>
  <sheetViews>
    <sheetView zoomScalePageLayoutView="0" workbookViewId="0" topLeftCell="A7">
      <selection activeCell="C27" sqref="C27:N2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83" t="s">
        <v>204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29"/>
    </row>
    <row r="4" spans="1:12" ht="15.75" customHeight="1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0"/>
    </row>
    <row r="5" spans="1:12" ht="15.75" customHeight="1">
      <c r="A5" s="84" t="s">
        <v>205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85" t="s">
        <v>49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2" t="s">
        <v>22</v>
      </c>
      <c r="B8" s="72" t="s">
        <v>0</v>
      </c>
      <c r="C8" s="72" t="s">
        <v>1</v>
      </c>
      <c r="D8" s="72" t="s">
        <v>28</v>
      </c>
      <c r="E8" s="72" t="s">
        <v>25</v>
      </c>
      <c r="F8" s="72" t="s">
        <v>26</v>
      </c>
      <c r="G8" s="72" t="s">
        <v>2</v>
      </c>
      <c r="H8" s="72" t="s">
        <v>3</v>
      </c>
      <c r="I8" s="74"/>
      <c r="J8" s="72" t="s">
        <v>4</v>
      </c>
      <c r="K8" s="74"/>
      <c r="L8" s="75" t="s">
        <v>29</v>
      </c>
    </row>
    <row r="9" spans="1:12" ht="12.75">
      <c r="A9" s="73"/>
      <c r="B9" s="72"/>
      <c r="C9" s="72"/>
      <c r="D9" s="73"/>
      <c r="E9" s="73"/>
      <c r="F9" s="72"/>
      <c r="G9" s="73"/>
      <c r="H9" s="72" t="s">
        <v>11</v>
      </c>
      <c r="I9" s="79" t="s">
        <v>24</v>
      </c>
      <c r="J9" s="72" t="s">
        <v>11</v>
      </c>
      <c r="K9" s="79" t="s">
        <v>24</v>
      </c>
      <c r="L9" s="75"/>
    </row>
    <row r="10" spans="1:12" ht="26.25" customHeight="1">
      <c r="A10" s="73"/>
      <c r="B10" s="72"/>
      <c r="C10" s="72"/>
      <c r="D10" s="73"/>
      <c r="E10" s="73"/>
      <c r="F10" s="72"/>
      <c r="G10" s="73"/>
      <c r="H10" s="73"/>
      <c r="I10" s="80"/>
      <c r="J10" s="73"/>
      <c r="K10" s="80"/>
      <c r="L10" s="75"/>
    </row>
    <row r="11" spans="1:12" ht="15.75">
      <c r="A11" s="51">
        <v>1</v>
      </c>
      <c r="B11" s="41">
        <v>159</v>
      </c>
      <c r="C11" s="47" t="s">
        <v>76</v>
      </c>
      <c r="D11" s="41">
        <v>1</v>
      </c>
      <c r="E11" s="46" t="s">
        <v>36</v>
      </c>
      <c r="F11" s="49" t="s">
        <v>160</v>
      </c>
      <c r="G11" s="41" t="s">
        <v>40</v>
      </c>
      <c r="H11" s="41">
        <v>1</v>
      </c>
      <c r="I11" s="27">
        <v>25</v>
      </c>
      <c r="J11" s="41">
        <v>1</v>
      </c>
      <c r="K11" s="27">
        <v>25</v>
      </c>
      <c r="L11" s="42">
        <f aca="true" t="shared" si="0" ref="L11:L24">I11+K11</f>
        <v>50</v>
      </c>
    </row>
    <row r="12" spans="1:256" s="3" customFormat="1" ht="14.25" customHeight="1">
      <c r="A12" s="51">
        <v>2</v>
      </c>
      <c r="B12" s="41">
        <v>32</v>
      </c>
      <c r="C12" s="46" t="s">
        <v>166</v>
      </c>
      <c r="D12" s="41" t="s">
        <v>56</v>
      </c>
      <c r="E12" s="46" t="s">
        <v>36</v>
      </c>
      <c r="F12" s="49" t="s">
        <v>153</v>
      </c>
      <c r="G12" s="48" t="s">
        <v>42</v>
      </c>
      <c r="H12" s="41">
        <v>2</v>
      </c>
      <c r="I12" s="27">
        <v>22</v>
      </c>
      <c r="J12" s="41">
        <v>2</v>
      </c>
      <c r="K12" s="27">
        <v>22</v>
      </c>
      <c r="L12" s="42">
        <f t="shared" si="0"/>
        <v>44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1">
        <v>3</v>
      </c>
      <c r="B13" s="41">
        <v>787</v>
      </c>
      <c r="C13" s="46" t="s">
        <v>198</v>
      </c>
      <c r="D13" s="41" t="s">
        <v>31</v>
      </c>
      <c r="E13" s="46" t="s">
        <v>36</v>
      </c>
      <c r="F13" s="49" t="s">
        <v>30</v>
      </c>
      <c r="G13" s="41" t="s">
        <v>38</v>
      </c>
      <c r="H13" s="41">
        <v>3</v>
      </c>
      <c r="I13" s="27">
        <v>20</v>
      </c>
      <c r="J13" s="41">
        <v>3</v>
      </c>
      <c r="K13" s="27">
        <v>20</v>
      </c>
      <c r="L13" s="42">
        <f t="shared" si="0"/>
        <v>40</v>
      </c>
    </row>
    <row r="14" spans="1:12" ht="15.75">
      <c r="A14" s="51">
        <v>4</v>
      </c>
      <c r="B14" s="41">
        <v>114</v>
      </c>
      <c r="C14" s="46" t="s">
        <v>147</v>
      </c>
      <c r="D14" s="41" t="s">
        <v>31</v>
      </c>
      <c r="E14" s="46" t="s">
        <v>163</v>
      </c>
      <c r="F14" s="49" t="s">
        <v>30</v>
      </c>
      <c r="G14" s="48" t="s">
        <v>42</v>
      </c>
      <c r="H14" s="41">
        <v>4</v>
      </c>
      <c r="I14" s="27">
        <v>18</v>
      </c>
      <c r="J14" s="41">
        <v>4</v>
      </c>
      <c r="K14" s="27">
        <v>18</v>
      </c>
      <c r="L14" s="42">
        <f t="shared" si="0"/>
        <v>36</v>
      </c>
    </row>
    <row r="15" spans="1:12" ht="15.75">
      <c r="A15" s="51">
        <v>5</v>
      </c>
      <c r="B15" s="41">
        <v>67</v>
      </c>
      <c r="C15" s="46" t="s">
        <v>127</v>
      </c>
      <c r="D15" s="41" t="s">
        <v>70</v>
      </c>
      <c r="E15" s="46" t="s">
        <v>36</v>
      </c>
      <c r="F15" s="49" t="s">
        <v>30</v>
      </c>
      <c r="G15" s="48" t="s">
        <v>39</v>
      </c>
      <c r="H15" s="41">
        <v>5</v>
      </c>
      <c r="I15" s="27">
        <v>16</v>
      </c>
      <c r="J15" s="41">
        <v>5</v>
      </c>
      <c r="K15" s="27">
        <v>16</v>
      </c>
      <c r="L15" s="42">
        <f t="shared" si="0"/>
        <v>32</v>
      </c>
    </row>
    <row r="16" spans="1:256" s="3" customFormat="1" ht="15.75" customHeight="1">
      <c r="A16" s="51">
        <v>6</v>
      </c>
      <c r="B16" s="41">
        <v>81</v>
      </c>
      <c r="C16" s="46" t="s">
        <v>60</v>
      </c>
      <c r="D16" s="41" t="s">
        <v>56</v>
      </c>
      <c r="E16" s="46" t="s">
        <v>167</v>
      </c>
      <c r="F16" s="49" t="s">
        <v>30</v>
      </c>
      <c r="G16" s="48" t="s">
        <v>39</v>
      </c>
      <c r="H16" s="41">
        <v>6</v>
      </c>
      <c r="I16" s="27">
        <v>15</v>
      </c>
      <c r="J16" s="41">
        <v>6</v>
      </c>
      <c r="K16" s="27">
        <v>15</v>
      </c>
      <c r="L16" s="42">
        <f t="shared" si="0"/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1">
        <v>7</v>
      </c>
      <c r="B17" s="41">
        <v>70</v>
      </c>
      <c r="C17" s="46" t="s">
        <v>109</v>
      </c>
      <c r="D17" s="41" t="s">
        <v>31</v>
      </c>
      <c r="E17" s="46" t="s">
        <v>36</v>
      </c>
      <c r="F17" s="49" t="s">
        <v>30</v>
      </c>
      <c r="G17" s="48" t="s">
        <v>39</v>
      </c>
      <c r="H17" s="41">
        <v>7</v>
      </c>
      <c r="I17" s="27">
        <v>14</v>
      </c>
      <c r="J17" s="41">
        <v>7</v>
      </c>
      <c r="K17" s="27">
        <v>14</v>
      </c>
      <c r="L17" s="42">
        <f t="shared" si="0"/>
        <v>28</v>
      </c>
    </row>
    <row r="18" spans="1:12" ht="15.75">
      <c r="A18" s="51">
        <v>8</v>
      </c>
      <c r="B18" s="41">
        <v>8</v>
      </c>
      <c r="C18" s="46" t="s">
        <v>77</v>
      </c>
      <c r="D18" s="41" t="s">
        <v>70</v>
      </c>
      <c r="E18" s="46" t="s">
        <v>78</v>
      </c>
      <c r="F18" s="49" t="s">
        <v>191</v>
      </c>
      <c r="G18" s="41" t="s">
        <v>38</v>
      </c>
      <c r="H18" s="41">
        <v>9</v>
      </c>
      <c r="I18" s="27">
        <v>12</v>
      </c>
      <c r="J18" s="41">
        <v>8</v>
      </c>
      <c r="K18" s="27">
        <v>13</v>
      </c>
      <c r="L18" s="42">
        <f t="shared" si="0"/>
        <v>25</v>
      </c>
    </row>
    <row r="19" spans="1:12" ht="15.75">
      <c r="A19" s="51">
        <v>9</v>
      </c>
      <c r="B19" s="41">
        <v>11</v>
      </c>
      <c r="C19" s="47" t="s">
        <v>214</v>
      </c>
      <c r="D19" s="41" t="s">
        <v>31</v>
      </c>
      <c r="E19" s="46" t="s">
        <v>97</v>
      </c>
      <c r="F19" s="49" t="s">
        <v>30</v>
      </c>
      <c r="G19" s="41" t="s">
        <v>38</v>
      </c>
      <c r="H19" s="41">
        <v>8</v>
      </c>
      <c r="I19" s="27">
        <v>13</v>
      </c>
      <c r="J19" s="41">
        <v>9</v>
      </c>
      <c r="K19" s="27">
        <v>12</v>
      </c>
      <c r="L19" s="42">
        <f t="shared" si="0"/>
        <v>25</v>
      </c>
    </row>
    <row r="20" spans="1:12" ht="15.75">
      <c r="A20" s="51">
        <v>10</v>
      </c>
      <c r="B20" s="41">
        <v>92</v>
      </c>
      <c r="C20" s="47" t="s">
        <v>213</v>
      </c>
      <c r="D20" s="41" t="s">
        <v>31</v>
      </c>
      <c r="E20" s="46" t="s">
        <v>97</v>
      </c>
      <c r="F20" s="49" t="s">
        <v>30</v>
      </c>
      <c r="G20" s="41" t="s">
        <v>38</v>
      </c>
      <c r="H20" s="41">
        <v>10</v>
      </c>
      <c r="I20" s="27">
        <v>11</v>
      </c>
      <c r="J20" s="41">
        <v>12</v>
      </c>
      <c r="K20" s="27">
        <v>9</v>
      </c>
      <c r="L20" s="42">
        <f t="shared" si="0"/>
        <v>20</v>
      </c>
    </row>
    <row r="21" spans="1:12" ht="15.75">
      <c r="A21" s="51">
        <v>11</v>
      </c>
      <c r="B21" s="41">
        <v>500</v>
      </c>
      <c r="C21" s="46" t="s">
        <v>164</v>
      </c>
      <c r="D21" s="41" t="s">
        <v>31</v>
      </c>
      <c r="E21" s="46" t="s">
        <v>190</v>
      </c>
      <c r="F21" s="49" t="s">
        <v>30</v>
      </c>
      <c r="G21" s="48" t="s">
        <v>39</v>
      </c>
      <c r="H21" s="41">
        <v>11</v>
      </c>
      <c r="I21" s="27">
        <v>10</v>
      </c>
      <c r="J21" s="41">
        <v>11</v>
      </c>
      <c r="K21" s="27">
        <v>10</v>
      </c>
      <c r="L21" s="42">
        <f t="shared" si="0"/>
        <v>20</v>
      </c>
    </row>
    <row r="22" spans="1:12" ht="15.75">
      <c r="A22" s="51">
        <v>12</v>
      </c>
      <c r="B22" s="41">
        <v>41</v>
      </c>
      <c r="C22" s="46" t="s">
        <v>212</v>
      </c>
      <c r="D22" s="41" t="s">
        <v>31</v>
      </c>
      <c r="E22" s="46" t="s">
        <v>163</v>
      </c>
      <c r="F22" s="49" t="s">
        <v>30</v>
      </c>
      <c r="G22" s="48" t="s">
        <v>39</v>
      </c>
      <c r="H22" s="41">
        <v>13</v>
      </c>
      <c r="I22" s="27">
        <v>8</v>
      </c>
      <c r="J22" s="41">
        <v>10</v>
      </c>
      <c r="K22" s="27">
        <v>11</v>
      </c>
      <c r="L22" s="42">
        <f t="shared" si="0"/>
        <v>19</v>
      </c>
    </row>
    <row r="23" spans="1:12" ht="15.75">
      <c r="A23" s="51">
        <v>13</v>
      </c>
      <c r="B23" s="41">
        <v>33</v>
      </c>
      <c r="C23" s="46" t="s">
        <v>210</v>
      </c>
      <c r="D23" s="41" t="s">
        <v>31</v>
      </c>
      <c r="E23" s="46" t="s">
        <v>211</v>
      </c>
      <c r="F23" s="49" t="s">
        <v>30</v>
      </c>
      <c r="G23" s="48" t="s">
        <v>39</v>
      </c>
      <c r="H23" s="41">
        <v>12</v>
      </c>
      <c r="I23" s="27">
        <v>9</v>
      </c>
      <c r="J23" s="41">
        <v>14</v>
      </c>
      <c r="K23" s="27">
        <v>7</v>
      </c>
      <c r="L23" s="42">
        <f t="shared" si="0"/>
        <v>16</v>
      </c>
    </row>
    <row r="24" spans="1:12" ht="15.75">
      <c r="A24" s="51">
        <v>14</v>
      </c>
      <c r="B24" s="41">
        <v>91</v>
      </c>
      <c r="C24" s="47" t="s">
        <v>168</v>
      </c>
      <c r="D24" s="41" t="s">
        <v>31</v>
      </c>
      <c r="E24" s="46" t="s">
        <v>169</v>
      </c>
      <c r="F24" s="49" t="s">
        <v>30</v>
      </c>
      <c r="G24" s="41" t="s">
        <v>38</v>
      </c>
      <c r="H24" s="41">
        <v>14</v>
      </c>
      <c r="I24" s="27">
        <v>7</v>
      </c>
      <c r="J24" s="41">
        <v>13</v>
      </c>
      <c r="K24" s="27">
        <v>8</v>
      </c>
      <c r="L24" s="42">
        <f t="shared" si="0"/>
        <v>15</v>
      </c>
    </row>
    <row r="25" spans="14:152" ht="12.75"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3:14" ht="15.75">
      <c r="C26" s="71" t="s">
        <v>23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32"/>
    </row>
    <row r="27" spans="3:14" ht="15.75">
      <c r="C27" s="71" t="s">
        <v>141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3:14" ht="15.75">
      <c r="C28" s="33"/>
      <c r="D28" s="33"/>
      <c r="E28" s="33"/>
      <c r="F28" s="33"/>
      <c r="G28" s="33"/>
      <c r="H28" s="33"/>
      <c r="I28" s="34"/>
      <c r="J28" s="33"/>
      <c r="K28" s="33"/>
      <c r="L28" s="33"/>
      <c r="M28" s="33"/>
      <c r="N28" s="32"/>
    </row>
    <row r="29" spans="3:14" ht="15.75">
      <c r="C29" s="71" t="s">
        <v>44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32"/>
    </row>
    <row r="30" spans="3:14" ht="15.75">
      <c r="C30" s="71" t="s">
        <v>53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</sheetData>
  <sheetProtection formatCells="0" formatColumns="0" formatRows="0" insertColumns="0" insertRows="0" insertHyperlinks="0" deleteColumns="0" deleteRows="0" autoFilter="0" pivotTables="0"/>
  <mergeCells count="22">
    <mergeCell ref="C26:M26"/>
    <mergeCell ref="C27:N27"/>
    <mergeCell ref="C8:C10"/>
    <mergeCell ref="D8:D10"/>
    <mergeCell ref="C29:M29"/>
    <mergeCell ref="C30:N30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25"/>
  <sheetViews>
    <sheetView zoomScalePageLayoutView="0" workbookViewId="0" topLeftCell="A4">
      <selection activeCell="F16" sqref="F1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3" t="s">
        <v>203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29"/>
    </row>
    <row r="4" spans="1:12" ht="15.75" customHeight="1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30"/>
    </row>
    <row r="5" spans="1:12" ht="15.75" customHeight="1">
      <c r="A5" s="84" t="s">
        <v>205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85" t="s">
        <v>54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2" t="s">
        <v>22</v>
      </c>
      <c r="B8" s="72" t="s">
        <v>0</v>
      </c>
      <c r="C8" s="72" t="s">
        <v>1</v>
      </c>
      <c r="D8" s="72" t="s">
        <v>28</v>
      </c>
      <c r="E8" s="72" t="s">
        <v>25</v>
      </c>
      <c r="F8" s="72" t="s">
        <v>26</v>
      </c>
      <c r="G8" s="72" t="s">
        <v>2</v>
      </c>
      <c r="H8" s="72" t="s">
        <v>3</v>
      </c>
      <c r="I8" s="74"/>
      <c r="J8" s="72" t="s">
        <v>4</v>
      </c>
      <c r="K8" s="74"/>
      <c r="L8" s="75" t="s">
        <v>29</v>
      </c>
    </row>
    <row r="9" spans="1:12" ht="12.75">
      <c r="A9" s="73"/>
      <c r="B9" s="72"/>
      <c r="C9" s="72"/>
      <c r="D9" s="73"/>
      <c r="E9" s="73"/>
      <c r="F9" s="72"/>
      <c r="G9" s="73"/>
      <c r="H9" s="72" t="s">
        <v>11</v>
      </c>
      <c r="I9" s="79" t="s">
        <v>24</v>
      </c>
      <c r="J9" s="72" t="s">
        <v>11</v>
      </c>
      <c r="K9" s="79" t="s">
        <v>24</v>
      </c>
      <c r="L9" s="75"/>
    </row>
    <row r="10" spans="1:12" ht="27" customHeight="1">
      <c r="A10" s="73"/>
      <c r="B10" s="72"/>
      <c r="C10" s="72"/>
      <c r="D10" s="73"/>
      <c r="E10" s="73"/>
      <c r="F10" s="72"/>
      <c r="G10" s="73"/>
      <c r="H10" s="73"/>
      <c r="I10" s="80"/>
      <c r="J10" s="73"/>
      <c r="K10" s="80"/>
      <c r="L10" s="75"/>
    </row>
    <row r="11" spans="1:12" ht="15.75">
      <c r="A11" s="51">
        <v>1</v>
      </c>
      <c r="B11" s="41">
        <v>77</v>
      </c>
      <c r="C11" s="46" t="s">
        <v>110</v>
      </c>
      <c r="D11" s="41">
        <v>1</v>
      </c>
      <c r="E11" s="46" t="s">
        <v>37</v>
      </c>
      <c r="F11" s="49" t="s">
        <v>30</v>
      </c>
      <c r="G11" s="48" t="s">
        <v>41</v>
      </c>
      <c r="H11" s="41">
        <v>1</v>
      </c>
      <c r="I11" s="27">
        <v>25</v>
      </c>
      <c r="J11" s="41">
        <v>1</v>
      </c>
      <c r="K11" s="27">
        <v>25</v>
      </c>
      <c r="L11" s="42">
        <f aca="true" t="shared" si="0" ref="L11:L19">I11+K11</f>
        <v>50</v>
      </c>
    </row>
    <row r="12" spans="1:256" s="3" customFormat="1" ht="15.75" customHeight="1">
      <c r="A12" s="51">
        <v>2</v>
      </c>
      <c r="B12" s="41">
        <v>1</v>
      </c>
      <c r="C12" s="46" t="s">
        <v>74</v>
      </c>
      <c r="D12" s="41" t="s">
        <v>32</v>
      </c>
      <c r="E12" s="46" t="s">
        <v>45</v>
      </c>
      <c r="F12" s="49" t="s">
        <v>191</v>
      </c>
      <c r="G12" s="48" t="s">
        <v>39</v>
      </c>
      <c r="H12" s="41">
        <v>2</v>
      </c>
      <c r="I12" s="27">
        <v>22</v>
      </c>
      <c r="J12" s="41">
        <v>2</v>
      </c>
      <c r="K12" s="27">
        <v>22</v>
      </c>
      <c r="L12" s="42">
        <f t="shared" si="0"/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1">
        <v>3</v>
      </c>
      <c r="B13" s="41">
        <v>94</v>
      </c>
      <c r="C13" s="46" t="s">
        <v>46</v>
      </c>
      <c r="D13" s="41">
        <v>1</v>
      </c>
      <c r="E13" s="46" t="s">
        <v>36</v>
      </c>
      <c r="F13" s="49" t="s">
        <v>160</v>
      </c>
      <c r="G13" s="48" t="s">
        <v>39</v>
      </c>
      <c r="H13" s="41">
        <v>3</v>
      </c>
      <c r="I13" s="27">
        <v>20</v>
      </c>
      <c r="J13" s="41">
        <v>3</v>
      </c>
      <c r="K13" s="27">
        <v>20</v>
      </c>
      <c r="L13" s="42">
        <f t="shared" si="0"/>
        <v>40</v>
      </c>
    </row>
    <row r="14" spans="1:12" ht="15.75">
      <c r="A14" s="51">
        <v>4</v>
      </c>
      <c r="B14" s="41">
        <v>778</v>
      </c>
      <c r="C14" s="47" t="s">
        <v>199</v>
      </c>
      <c r="D14" s="41" t="s">
        <v>31</v>
      </c>
      <c r="E14" s="46" t="s">
        <v>36</v>
      </c>
      <c r="F14" s="49" t="s">
        <v>30</v>
      </c>
      <c r="G14" s="41" t="s">
        <v>40</v>
      </c>
      <c r="H14" s="41">
        <v>4</v>
      </c>
      <c r="I14" s="27">
        <v>18</v>
      </c>
      <c r="J14" s="41">
        <v>4</v>
      </c>
      <c r="K14" s="27">
        <v>18</v>
      </c>
      <c r="L14" s="42">
        <f t="shared" si="0"/>
        <v>36</v>
      </c>
    </row>
    <row r="15" spans="1:256" s="3" customFormat="1" ht="15.75" customHeight="1">
      <c r="A15" s="51">
        <v>5</v>
      </c>
      <c r="B15" s="41">
        <v>18</v>
      </c>
      <c r="C15" s="46" t="s">
        <v>171</v>
      </c>
      <c r="D15" s="41" t="s">
        <v>31</v>
      </c>
      <c r="E15" s="46" t="s">
        <v>45</v>
      </c>
      <c r="F15" s="49" t="s">
        <v>30</v>
      </c>
      <c r="G15" s="41" t="s">
        <v>38</v>
      </c>
      <c r="H15" s="41">
        <v>5</v>
      </c>
      <c r="I15" s="27">
        <v>16</v>
      </c>
      <c r="J15" s="41">
        <v>5</v>
      </c>
      <c r="K15" s="27">
        <v>16</v>
      </c>
      <c r="L15" s="42">
        <f t="shared" si="0"/>
        <v>32</v>
      </c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1">
        <v>6</v>
      </c>
      <c r="B16" s="52">
        <v>8</v>
      </c>
      <c r="C16" s="64" t="s">
        <v>170</v>
      </c>
      <c r="D16" s="52" t="s">
        <v>31</v>
      </c>
      <c r="E16" s="64" t="s">
        <v>35</v>
      </c>
      <c r="F16" s="49" t="s">
        <v>153</v>
      </c>
      <c r="G16" s="48" t="s">
        <v>39</v>
      </c>
      <c r="H16" s="41">
        <v>7</v>
      </c>
      <c r="I16" s="27">
        <v>14</v>
      </c>
      <c r="J16" s="41">
        <v>6</v>
      </c>
      <c r="K16" s="27">
        <v>15</v>
      </c>
      <c r="L16" s="42">
        <f t="shared" si="0"/>
        <v>29</v>
      </c>
    </row>
    <row r="17" spans="1:12" ht="15.75">
      <c r="A17" s="51">
        <v>7</v>
      </c>
      <c r="B17" s="41">
        <v>45</v>
      </c>
      <c r="C17" s="47" t="s">
        <v>128</v>
      </c>
      <c r="D17" s="41" t="s">
        <v>31</v>
      </c>
      <c r="E17" s="46" t="s">
        <v>37</v>
      </c>
      <c r="F17" s="49" t="s">
        <v>30</v>
      </c>
      <c r="G17" s="48" t="s">
        <v>41</v>
      </c>
      <c r="H17" s="41">
        <v>6</v>
      </c>
      <c r="I17" s="27">
        <v>15</v>
      </c>
      <c r="J17" s="41">
        <v>7</v>
      </c>
      <c r="K17" s="27">
        <v>14</v>
      </c>
      <c r="L17" s="42">
        <f t="shared" si="0"/>
        <v>29</v>
      </c>
    </row>
    <row r="18" spans="1:256" s="3" customFormat="1" ht="15.75" customHeight="1">
      <c r="A18" s="51">
        <v>8</v>
      </c>
      <c r="B18" s="41">
        <v>11</v>
      </c>
      <c r="C18" s="47" t="s">
        <v>215</v>
      </c>
      <c r="D18" s="41" t="s">
        <v>56</v>
      </c>
      <c r="E18" s="46" t="s">
        <v>36</v>
      </c>
      <c r="F18" s="49" t="s">
        <v>30</v>
      </c>
      <c r="G18" s="48" t="s">
        <v>41</v>
      </c>
      <c r="H18" s="41">
        <v>8</v>
      </c>
      <c r="I18" s="27">
        <v>13</v>
      </c>
      <c r="J18" s="41">
        <v>8</v>
      </c>
      <c r="K18" s="27">
        <v>13</v>
      </c>
      <c r="L18" s="42">
        <f t="shared" si="0"/>
        <v>26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51">
        <v>9</v>
      </c>
      <c r="B19" s="41">
        <v>30</v>
      </c>
      <c r="C19" s="47" t="s">
        <v>216</v>
      </c>
      <c r="D19" s="41" t="s">
        <v>31</v>
      </c>
      <c r="E19" s="46" t="s">
        <v>36</v>
      </c>
      <c r="F19" s="49" t="s">
        <v>30</v>
      </c>
      <c r="G19" s="48" t="s">
        <v>41</v>
      </c>
      <c r="H19" s="41">
        <v>9</v>
      </c>
      <c r="I19" s="27">
        <v>12</v>
      </c>
      <c r="J19" s="41">
        <v>9</v>
      </c>
      <c r="K19" s="27">
        <v>12</v>
      </c>
      <c r="L19" s="42">
        <f t="shared" si="0"/>
        <v>24</v>
      </c>
    </row>
    <row r="20" ht="15.75">
      <c r="H20" s="33"/>
    </row>
    <row r="21" spans="2:8" ht="15.75">
      <c r="B21" s="33" t="s">
        <v>23</v>
      </c>
      <c r="C21" s="33"/>
      <c r="D21" s="33"/>
      <c r="E21" s="33"/>
      <c r="F21" s="33"/>
      <c r="G21" s="33"/>
      <c r="H21" s="33"/>
    </row>
    <row r="22" spans="2:8" ht="15.75">
      <c r="B22" s="33" t="s">
        <v>53</v>
      </c>
      <c r="D22" s="33" t="s">
        <v>136</v>
      </c>
      <c r="E22" s="33" t="s">
        <v>135</v>
      </c>
      <c r="F22" s="33" t="s">
        <v>134</v>
      </c>
      <c r="G22" s="33"/>
      <c r="H22" s="34"/>
    </row>
    <row r="23" spans="2:8" ht="15.75">
      <c r="B23" s="33"/>
      <c r="C23" s="33"/>
      <c r="D23" s="33"/>
      <c r="E23" s="33"/>
      <c r="F23" s="33"/>
      <c r="G23" s="33"/>
      <c r="H23" s="33"/>
    </row>
    <row r="24" spans="2:8" ht="15.75">
      <c r="B24" s="33" t="s">
        <v>44</v>
      </c>
      <c r="C24" s="33"/>
      <c r="D24" s="33"/>
      <c r="E24" s="33"/>
      <c r="F24" s="33"/>
      <c r="G24" s="33"/>
      <c r="H24" s="33"/>
    </row>
    <row r="25" spans="2:7" ht="15.75">
      <c r="B25" s="33" t="s">
        <v>137</v>
      </c>
      <c r="G25" s="33"/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21"/>
  <sheetViews>
    <sheetView zoomScalePageLayoutView="0" workbookViewId="0" topLeftCell="A4">
      <selection activeCell="F11" sqref="F1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1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83" t="s">
        <v>203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  <c r="M2" s="82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0"/>
      <c r="M3" s="82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84" t="s">
        <v>205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2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5" t="s">
        <v>50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74"/>
      <c r="J7" s="72" t="s">
        <v>4</v>
      </c>
      <c r="K7" s="74"/>
      <c r="L7" s="75" t="s">
        <v>29</v>
      </c>
      <c r="M7" s="76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3"/>
      <c r="B8" s="72"/>
      <c r="C8" s="72"/>
      <c r="D8" s="73"/>
      <c r="E8" s="73"/>
      <c r="F8" s="72"/>
      <c r="G8" s="73"/>
      <c r="H8" s="72" t="s">
        <v>11</v>
      </c>
      <c r="I8" s="79" t="s">
        <v>24</v>
      </c>
      <c r="J8" s="72" t="s">
        <v>11</v>
      </c>
      <c r="K8" s="79" t="s">
        <v>24</v>
      </c>
      <c r="L8" s="75"/>
      <c r="M8" s="77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3"/>
      <c r="B9" s="72"/>
      <c r="C9" s="72"/>
      <c r="D9" s="73"/>
      <c r="E9" s="73"/>
      <c r="F9" s="72"/>
      <c r="G9" s="73"/>
      <c r="H9" s="73"/>
      <c r="I9" s="80"/>
      <c r="J9" s="73"/>
      <c r="K9" s="80"/>
      <c r="L9" s="75"/>
      <c r="M9" s="78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</v>
      </c>
      <c r="C10" s="46" t="s">
        <v>33</v>
      </c>
      <c r="D10" s="41" t="s">
        <v>34</v>
      </c>
      <c r="E10" s="46" t="s">
        <v>43</v>
      </c>
      <c r="F10" s="49" t="s">
        <v>153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f>I10+K10</f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1">
        <v>2</v>
      </c>
      <c r="B11" s="41">
        <v>79</v>
      </c>
      <c r="C11" s="47" t="s">
        <v>95</v>
      </c>
      <c r="D11" s="41" t="s">
        <v>32</v>
      </c>
      <c r="E11" s="46" t="s">
        <v>163</v>
      </c>
      <c r="F11" s="49" t="s">
        <v>30</v>
      </c>
      <c r="G11" s="48" t="s">
        <v>38</v>
      </c>
      <c r="H11" s="38">
        <v>2</v>
      </c>
      <c r="I11" s="39">
        <v>22</v>
      </c>
      <c r="J11" s="38">
        <v>2</v>
      </c>
      <c r="K11" s="39">
        <v>22</v>
      </c>
      <c r="L11" s="42">
        <f>I11+K11</f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17</v>
      </c>
      <c r="C12" s="47" t="s">
        <v>217</v>
      </c>
      <c r="D12" s="41" t="s">
        <v>32</v>
      </c>
      <c r="E12" s="46" t="s">
        <v>43</v>
      </c>
      <c r="F12" s="49" t="s">
        <v>191</v>
      </c>
      <c r="G12" s="48" t="s">
        <v>38</v>
      </c>
      <c r="H12" s="41">
        <v>3</v>
      </c>
      <c r="I12" s="27">
        <v>20</v>
      </c>
      <c r="J12" s="41">
        <v>3</v>
      </c>
      <c r="K12" s="27">
        <v>20</v>
      </c>
      <c r="L12" s="42">
        <f>I12+K12</f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23</v>
      </c>
      <c r="C13" s="47" t="s">
        <v>200</v>
      </c>
      <c r="D13" s="41" t="s">
        <v>31</v>
      </c>
      <c r="E13" s="46" t="s">
        <v>36</v>
      </c>
      <c r="F13" s="49" t="s">
        <v>160</v>
      </c>
      <c r="G13" s="48" t="s">
        <v>38</v>
      </c>
      <c r="H13" s="38">
        <v>4</v>
      </c>
      <c r="I13" s="39">
        <v>18</v>
      </c>
      <c r="J13" s="38">
        <v>4</v>
      </c>
      <c r="K13" s="39">
        <v>18</v>
      </c>
      <c r="L13" s="42">
        <f>I13+K13</f>
        <v>36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120</v>
      </c>
      <c r="C14" s="46" t="s">
        <v>115</v>
      </c>
      <c r="D14" s="41" t="s">
        <v>31</v>
      </c>
      <c r="E14" s="46" t="s">
        <v>172</v>
      </c>
      <c r="F14" s="49" t="s">
        <v>30</v>
      </c>
      <c r="G14" s="48" t="s">
        <v>42</v>
      </c>
      <c r="H14" s="41">
        <v>5</v>
      </c>
      <c r="I14" s="27">
        <v>16</v>
      </c>
      <c r="J14" s="41">
        <v>5</v>
      </c>
      <c r="K14" s="27">
        <v>16</v>
      </c>
      <c r="L14" s="42">
        <f>I14+K14</f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1">
        <v>6</v>
      </c>
      <c r="B15" s="54">
        <v>5</v>
      </c>
      <c r="C15" s="55" t="s">
        <v>95</v>
      </c>
      <c r="D15" s="54" t="s">
        <v>32</v>
      </c>
      <c r="E15" s="56" t="s">
        <v>163</v>
      </c>
      <c r="F15" s="69" t="s">
        <v>30</v>
      </c>
      <c r="G15" s="66" t="s">
        <v>38</v>
      </c>
      <c r="H15" s="38"/>
      <c r="I15" s="39"/>
      <c r="J15" s="38"/>
      <c r="K15" s="39"/>
      <c r="L15" s="42"/>
    </row>
    <row r="16" spans="1:256" ht="15.75" customHeight="1">
      <c r="A16" s="51">
        <v>7</v>
      </c>
      <c r="B16" s="54">
        <v>777</v>
      </c>
      <c r="C16" s="55" t="s">
        <v>146</v>
      </c>
      <c r="D16" s="54" t="s">
        <v>32</v>
      </c>
      <c r="E16" s="56" t="s">
        <v>163</v>
      </c>
      <c r="F16" s="69" t="s">
        <v>30</v>
      </c>
      <c r="G16" s="54" t="s">
        <v>40</v>
      </c>
      <c r="H16" s="41"/>
      <c r="I16" s="27"/>
      <c r="J16" s="41"/>
      <c r="K16" s="27"/>
      <c r="L16" s="42"/>
      <c r="M16" s="37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4" ht="15.75">
      <c r="A17" s="33" t="s">
        <v>23</v>
      </c>
      <c r="B17" s="33"/>
      <c r="C17" s="33"/>
      <c r="D17" s="33"/>
    </row>
    <row r="18" spans="1:6" ht="15.75">
      <c r="A18" s="33" t="s">
        <v>140</v>
      </c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 t="s">
        <v>44</v>
      </c>
      <c r="B20" s="33"/>
      <c r="C20" s="33"/>
      <c r="D20" s="33"/>
      <c r="E20" s="33"/>
      <c r="F20" s="33"/>
    </row>
    <row r="21" spans="1:6" ht="15.75">
      <c r="A21" s="33" t="s">
        <v>53</v>
      </c>
      <c r="B21" s="33"/>
      <c r="C21" s="33"/>
      <c r="D21" s="33"/>
      <c r="E21" s="33"/>
      <c r="F21" s="33"/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N11" sqref="N1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83" t="s">
        <v>203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</row>
    <row r="3" spans="1:12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0"/>
    </row>
    <row r="4" spans="1:12" ht="15.75" customHeight="1">
      <c r="A4" s="84" t="s">
        <v>205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8" customHeight="1">
      <c r="A5" s="85" t="s">
        <v>184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74"/>
      <c r="J7" s="72" t="s">
        <v>4</v>
      </c>
      <c r="K7" s="74"/>
      <c r="L7" s="75" t="s">
        <v>29</v>
      </c>
    </row>
    <row r="8" spans="1:12" ht="12.75">
      <c r="A8" s="73"/>
      <c r="B8" s="72"/>
      <c r="C8" s="72"/>
      <c r="D8" s="73"/>
      <c r="E8" s="73"/>
      <c r="F8" s="72"/>
      <c r="G8" s="73"/>
      <c r="H8" s="72" t="s">
        <v>11</v>
      </c>
      <c r="I8" s="79" t="s">
        <v>24</v>
      </c>
      <c r="J8" s="72" t="s">
        <v>11</v>
      </c>
      <c r="K8" s="79" t="s">
        <v>24</v>
      </c>
      <c r="L8" s="75"/>
    </row>
    <row r="9" spans="1:12" ht="27.75" customHeight="1">
      <c r="A9" s="73"/>
      <c r="B9" s="72"/>
      <c r="C9" s="72"/>
      <c r="D9" s="73"/>
      <c r="E9" s="73"/>
      <c r="F9" s="72"/>
      <c r="G9" s="73"/>
      <c r="H9" s="73"/>
      <c r="I9" s="80"/>
      <c r="J9" s="73"/>
      <c r="K9" s="80"/>
      <c r="L9" s="75"/>
    </row>
    <row r="10" spans="1:12" ht="15.75" customHeight="1">
      <c r="A10" s="51">
        <v>1</v>
      </c>
      <c r="B10" s="41">
        <v>41</v>
      </c>
      <c r="C10" s="46" t="s">
        <v>99</v>
      </c>
      <c r="D10" s="41">
        <v>1</v>
      </c>
      <c r="E10" s="46" t="s">
        <v>36</v>
      </c>
      <c r="F10" s="50" t="s">
        <v>30</v>
      </c>
      <c r="G10" s="41" t="s">
        <v>38</v>
      </c>
      <c r="H10" s="41">
        <v>1</v>
      </c>
      <c r="I10" s="27">
        <v>25</v>
      </c>
      <c r="J10" s="41">
        <v>1</v>
      </c>
      <c r="K10" s="27">
        <v>25</v>
      </c>
      <c r="L10" s="42">
        <f aca="true" t="shared" si="0" ref="L10:L20">I10+K10</f>
        <v>50</v>
      </c>
    </row>
    <row r="11" spans="1:12" ht="15.75" customHeight="1">
      <c r="A11" s="51">
        <v>2</v>
      </c>
      <c r="B11" s="41">
        <v>57</v>
      </c>
      <c r="C11" s="46" t="s">
        <v>51</v>
      </c>
      <c r="D11" s="41" t="s">
        <v>31</v>
      </c>
      <c r="E11" s="46" t="s">
        <v>36</v>
      </c>
      <c r="F11" s="50" t="s">
        <v>30</v>
      </c>
      <c r="G11" s="48" t="s">
        <v>42</v>
      </c>
      <c r="H11" s="41">
        <v>2</v>
      </c>
      <c r="I11" s="27">
        <v>22</v>
      </c>
      <c r="J11" s="41">
        <v>3</v>
      </c>
      <c r="K11" s="27">
        <v>20</v>
      </c>
      <c r="L11" s="42">
        <f t="shared" si="0"/>
        <v>42</v>
      </c>
    </row>
    <row r="12" spans="1:12" ht="15.75" customHeight="1">
      <c r="A12" s="51">
        <v>3</v>
      </c>
      <c r="B12" s="41">
        <v>77</v>
      </c>
      <c r="C12" s="46" t="s">
        <v>69</v>
      </c>
      <c r="D12" s="41" t="s">
        <v>31</v>
      </c>
      <c r="E12" s="46" t="s">
        <v>36</v>
      </c>
      <c r="F12" s="50" t="s">
        <v>30</v>
      </c>
      <c r="G12" s="48" t="s">
        <v>41</v>
      </c>
      <c r="H12" s="41">
        <v>5</v>
      </c>
      <c r="I12" s="27">
        <v>16</v>
      </c>
      <c r="J12" s="41">
        <v>2</v>
      </c>
      <c r="K12" s="27">
        <v>22</v>
      </c>
      <c r="L12" s="42">
        <f t="shared" si="0"/>
        <v>38</v>
      </c>
    </row>
    <row r="13" spans="1:12" ht="15.75" customHeight="1">
      <c r="A13" s="51">
        <v>4</v>
      </c>
      <c r="B13" s="41">
        <v>55</v>
      </c>
      <c r="C13" s="46" t="s">
        <v>52</v>
      </c>
      <c r="D13" s="41" t="s">
        <v>31</v>
      </c>
      <c r="E13" s="46" t="s">
        <v>35</v>
      </c>
      <c r="F13" s="50" t="s">
        <v>30</v>
      </c>
      <c r="G13" s="48" t="s">
        <v>40</v>
      </c>
      <c r="H13" s="41">
        <v>3</v>
      </c>
      <c r="I13" s="27">
        <v>20</v>
      </c>
      <c r="J13" s="41">
        <v>5</v>
      </c>
      <c r="K13" s="27">
        <v>16</v>
      </c>
      <c r="L13" s="42">
        <f t="shared" si="0"/>
        <v>36</v>
      </c>
    </row>
    <row r="14" spans="1:12" ht="15.75" customHeight="1">
      <c r="A14" s="51">
        <v>5</v>
      </c>
      <c r="B14" s="41">
        <v>51</v>
      </c>
      <c r="C14" s="46" t="s">
        <v>193</v>
      </c>
      <c r="D14" s="41" t="s">
        <v>31</v>
      </c>
      <c r="E14" s="46" t="s">
        <v>35</v>
      </c>
      <c r="F14" s="50" t="s">
        <v>30</v>
      </c>
      <c r="G14" s="48" t="s">
        <v>42</v>
      </c>
      <c r="H14" s="41">
        <v>4</v>
      </c>
      <c r="I14" s="27">
        <v>18</v>
      </c>
      <c r="J14" s="41">
        <v>4</v>
      </c>
      <c r="K14" s="27">
        <v>18</v>
      </c>
      <c r="L14" s="42">
        <f t="shared" si="0"/>
        <v>36</v>
      </c>
    </row>
    <row r="15" spans="1:12" ht="15.75" customHeight="1">
      <c r="A15" s="51">
        <v>6</v>
      </c>
      <c r="B15" s="41">
        <v>42</v>
      </c>
      <c r="C15" s="46" t="s">
        <v>218</v>
      </c>
      <c r="D15" s="41" t="s">
        <v>34</v>
      </c>
      <c r="E15" s="46" t="s">
        <v>36</v>
      </c>
      <c r="F15" s="50" t="s">
        <v>30</v>
      </c>
      <c r="G15" s="48" t="s">
        <v>42</v>
      </c>
      <c r="H15" s="41">
        <v>7</v>
      </c>
      <c r="I15" s="27">
        <v>14</v>
      </c>
      <c r="J15" s="41">
        <v>6</v>
      </c>
      <c r="K15" s="27">
        <v>15</v>
      </c>
      <c r="L15" s="42">
        <f t="shared" si="0"/>
        <v>29</v>
      </c>
    </row>
    <row r="16" spans="1:12" ht="15.75" customHeight="1">
      <c r="A16" s="51">
        <v>7</v>
      </c>
      <c r="B16" s="41">
        <v>46</v>
      </c>
      <c r="C16" s="46" t="s">
        <v>111</v>
      </c>
      <c r="D16" s="41" t="s">
        <v>31</v>
      </c>
      <c r="E16" s="46" t="s">
        <v>185</v>
      </c>
      <c r="F16" s="50" t="s">
        <v>30</v>
      </c>
      <c r="G16" s="41" t="s">
        <v>38</v>
      </c>
      <c r="H16" s="41">
        <v>6</v>
      </c>
      <c r="I16" s="27">
        <v>15</v>
      </c>
      <c r="J16" s="41">
        <v>7</v>
      </c>
      <c r="K16" s="27">
        <v>14</v>
      </c>
      <c r="L16" s="42">
        <f t="shared" si="0"/>
        <v>29</v>
      </c>
    </row>
    <row r="17" spans="1:12" ht="15.75" customHeight="1">
      <c r="A17" s="51">
        <v>8</v>
      </c>
      <c r="B17" s="41">
        <v>28</v>
      </c>
      <c r="C17" s="47" t="s">
        <v>192</v>
      </c>
      <c r="D17" s="41" t="s">
        <v>31</v>
      </c>
      <c r="E17" s="46" t="s">
        <v>35</v>
      </c>
      <c r="F17" s="50" t="s">
        <v>30</v>
      </c>
      <c r="G17" s="48" t="s">
        <v>39</v>
      </c>
      <c r="H17" s="41">
        <v>8</v>
      </c>
      <c r="I17" s="27">
        <v>13</v>
      </c>
      <c r="J17" s="41">
        <v>8</v>
      </c>
      <c r="K17" s="27">
        <v>13</v>
      </c>
      <c r="L17" s="42">
        <f t="shared" si="0"/>
        <v>26</v>
      </c>
    </row>
    <row r="18" spans="1:12" ht="15.75" customHeight="1">
      <c r="A18" s="51">
        <v>9</v>
      </c>
      <c r="B18" s="41">
        <v>8</v>
      </c>
      <c r="C18" s="46" t="s">
        <v>75</v>
      </c>
      <c r="D18" s="41" t="s">
        <v>31</v>
      </c>
      <c r="E18" s="46" t="s">
        <v>78</v>
      </c>
      <c r="F18" s="50" t="s">
        <v>30</v>
      </c>
      <c r="G18" s="48" t="s">
        <v>39</v>
      </c>
      <c r="H18" s="41">
        <v>9</v>
      </c>
      <c r="I18" s="27">
        <v>12</v>
      </c>
      <c r="J18" s="41">
        <v>9</v>
      </c>
      <c r="K18" s="27">
        <v>12</v>
      </c>
      <c r="L18" s="42">
        <f t="shared" si="0"/>
        <v>24</v>
      </c>
    </row>
    <row r="19" spans="1:12" ht="15.75" customHeight="1">
      <c r="A19" s="51">
        <v>10</v>
      </c>
      <c r="B19" s="41">
        <v>22</v>
      </c>
      <c r="C19" s="46" t="s">
        <v>220</v>
      </c>
      <c r="D19" s="41" t="s">
        <v>34</v>
      </c>
      <c r="E19" s="46" t="s">
        <v>163</v>
      </c>
      <c r="F19" s="50" t="s">
        <v>30</v>
      </c>
      <c r="G19" s="48" t="s">
        <v>39</v>
      </c>
      <c r="H19" s="41">
        <v>10</v>
      </c>
      <c r="I19" s="27">
        <v>11</v>
      </c>
      <c r="J19" s="41">
        <v>10</v>
      </c>
      <c r="K19" s="27">
        <v>11</v>
      </c>
      <c r="L19" s="42">
        <f t="shared" si="0"/>
        <v>22</v>
      </c>
    </row>
    <row r="20" spans="1:12" ht="15.75">
      <c r="A20" s="51">
        <v>11</v>
      </c>
      <c r="B20" s="41">
        <v>30</v>
      </c>
      <c r="C20" s="46" t="s">
        <v>219</v>
      </c>
      <c r="D20" s="41" t="s">
        <v>34</v>
      </c>
      <c r="E20" s="46" t="s">
        <v>36</v>
      </c>
      <c r="F20" s="50" t="s">
        <v>30</v>
      </c>
      <c r="G20" s="48" t="s">
        <v>42</v>
      </c>
      <c r="H20" s="41" t="s">
        <v>72</v>
      </c>
      <c r="I20" s="27">
        <v>0</v>
      </c>
      <c r="J20" s="41" t="s">
        <v>73</v>
      </c>
      <c r="K20" s="27">
        <v>0</v>
      </c>
      <c r="L20" s="42">
        <f t="shared" si="0"/>
        <v>0</v>
      </c>
    </row>
    <row r="21" spans="2:13" ht="15.75">
      <c r="B21" s="33" t="s">
        <v>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</row>
    <row r="22" spans="2:13" ht="15.75">
      <c r="B22" s="33" t="s">
        <v>139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2:13" ht="15.75">
      <c r="B23" s="33" t="s">
        <v>44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2"/>
    </row>
    <row r="24" spans="2:13" ht="15.75">
      <c r="B24" s="71" t="s">
        <v>53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</sheetData>
  <sheetProtection/>
  <mergeCells count="19">
    <mergeCell ref="B24:M24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3">
      <selection activeCell="K22" sqref="K22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25.57421875" style="0" customWidth="1"/>
    <col min="4" max="4" width="8.28125" style="0" customWidth="1"/>
    <col min="5" max="5" width="21.28125" style="0" customWidth="1"/>
    <col min="6" max="6" width="10.7109375" style="0" customWidth="1"/>
    <col min="7" max="7" width="6.7109375" style="0" customWidth="1"/>
    <col min="8" max="8" width="6.57421875" style="0" customWidth="1"/>
    <col min="9" max="9" width="6.7109375" style="0" customWidth="1"/>
    <col min="10" max="10" width="6.00390625" style="0" customWidth="1"/>
    <col min="11" max="11" width="10.574218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83" t="s">
        <v>188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</row>
    <row r="3" spans="1:12" ht="12.7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0"/>
    </row>
    <row r="4" spans="1:12" ht="18" customHeight="1">
      <c r="A4" s="84" t="s">
        <v>189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1" ht="12.75">
      <c r="A5" s="96" t="s">
        <v>71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7.5" customHeight="1" thickBot="1"/>
    <row r="7" spans="1:11" ht="13.5" thickBot="1">
      <c r="A7" s="93" t="s">
        <v>22</v>
      </c>
      <c r="B7" s="93" t="s">
        <v>0</v>
      </c>
      <c r="C7" s="93" t="s">
        <v>1</v>
      </c>
      <c r="D7" s="93" t="s">
        <v>28</v>
      </c>
      <c r="E7" s="93" t="s">
        <v>25</v>
      </c>
      <c r="F7" s="93" t="s">
        <v>2</v>
      </c>
      <c r="G7" s="97" t="s">
        <v>3</v>
      </c>
      <c r="H7" s="98"/>
      <c r="I7" s="97" t="s">
        <v>4</v>
      </c>
      <c r="J7" s="98"/>
      <c r="K7" s="88" t="s">
        <v>29</v>
      </c>
    </row>
    <row r="8" spans="1:11" ht="12.75">
      <c r="A8" s="101"/>
      <c r="B8" s="94"/>
      <c r="C8" s="94"/>
      <c r="D8" s="94"/>
      <c r="E8" s="94"/>
      <c r="F8" s="94"/>
      <c r="G8" s="86" t="s">
        <v>11</v>
      </c>
      <c r="H8" s="91" t="s">
        <v>24</v>
      </c>
      <c r="I8" s="86" t="s">
        <v>11</v>
      </c>
      <c r="J8" s="91" t="s">
        <v>24</v>
      </c>
      <c r="K8" s="89"/>
    </row>
    <row r="9" spans="1:11" ht="21.75" customHeight="1" thickBot="1">
      <c r="A9" s="102"/>
      <c r="B9" s="95"/>
      <c r="C9" s="95"/>
      <c r="D9" s="95"/>
      <c r="E9" s="95"/>
      <c r="F9" s="95"/>
      <c r="G9" s="87"/>
      <c r="H9" s="92"/>
      <c r="I9" s="100"/>
      <c r="J9" s="99"/>
      <c r="K9" s="90"/>
    </row>
    <row r="10" spans="1:11" ht="15.75">
      <c r="A10" s="43">
        <v>1</v>
      </c>
      <c r="B10" s="41">
        <v>70</v>
      </c>
      <c r="C10" s="46" t="s">
        <v>112</v>
      </c>
      <c r="D10" s="41" t="s">
        <v>31</v>
      </c>
      <c r="E10" s="46" t="s">
        <v>118</v>
      </c>
      <c r="F10" s="48" t="s">
        <v>40</v>
      </c>
      <c r="G10" s="41">
        <v>1</v>
      </c>
      <c r="H10" s="27">
        <v>25</v>
      </c>
      <c r="I10" s="35">
        <v>1</v>
      </c>
      <c r="J10" s="36">
        <v>25</v>
      </c>
      <c r="K10" s="28">
        <f>H10+J10</f>
        <v>50</v>
      </c>
    </row>
    <row r="11" spans="1:11" ht="15.75">
      <c r="A11" s="43">
        <v>2</v>
      </c>
      <c r="B11" s="41">
        <v>71</v>
      </c>
      <c r="C11" s="46" t="s">
        <v>154</v>
      </c>
      <c r="D11" s="41" t="s">
        <v>31</v>
      </c>
      <c r="E11" s="46" t="s">
        <v>118</v>
      </c>
      <c r="F11" s="48" t="s">
        <v>39</v>
      </c>
      <c r="G11" s="41">
        <v>3</v>
      </c>
      <c r="H11" s="27">
        <v>20</v>
      </c>
      <c r="I11" s="35">
        <v>2</v>
      </c>
      <c r="J11" s="36">
        <v>22</v>
      </c>
      <c r="K11" s="28">
        <f aca="true" t="shared" si="0" ref="K11:K18">H11+J11</f>
        <v>42</v>
      </c>
    </row>
    <row r="12" spans="1:11" ht="15.75">
      <c r="A12" s="43">
        <v>3</v>
      </c>
      <c r="B12" s="41">
        <v>85</v>
      </c>
      <c r="C12" s="46" t="s">
        <v>98</v>
      </c>
      <c r="D12" s="41" t="s">
        <v>31</v>
      </c>
      <c r="E12" s="46" t="s">
        <v>174</v>
      </c>
      <c r="F12" s="48" t="s">
        <v>42</v>
      </c>
      <c r="G12" s="41">
        <v>2</v>
      </c>
      <c r="H12" s="27">
        <v>22</v>
      </c>
      <c r="I12" s="35">
        <v>3</v>
      </c>
      <c r="J12" s="36">
        <v>20</v>
      </c>
      <c r="K12" s="28">
        <f t="shared" si="0"/>
        <v>42</v>
      </c>
    </row>
    <row r="13" spans="1:11" ht="15.75">
      <c r="A13" s="43">
        <v>4</v>
      </c>
      <c r="B13" s="52">
        <v>3</v>
      </c>
      <c r="C13" s="64" t="s">
        <v>117</v>
      </c>
      <c r="D13" s="52" t="s">
        <v>31</v>
      </c>
      <c r="E13" s="64" t="s">
        <v>118</v>
      </c>
      <c r="F13" s="48" t="s">
        <v>39</v>
      </c>
      <c r="G13" s="41">
        <v>8</v>
      </c>
      <c r="H13" s="27">
        <v>13</v>
      </c>
      <c r="I13" s="35">
        <v>4</v>
      </c>
      <c r="J13" s="36">
        <v>18</v>
      </c>
      <c r="K13" s="28">
        <f t="shared" si="0"/>
        <v>31</v>
      </c>
    </row>
    <row r="14" spans="1:11" ht="15.75">
      <c r="A14" s="43">
        <v>5</v>
      </c>
      <c r="B14" s="41">
        <v>17</v>
      </c>
      <c r="C14" s="46" t="s">
        <v>173</v>
      </c>
      <c r="D14" s="41" t="s">
        <v>31</v>
      </c>
      <c r="E14" s="46" t="s">
        <v>118</v>
      </c>
      <c r="F14" s="48" t="s">
        <v>39</v>
      </c>
      <c r="G14" s="41">
        <v>7</v>
      </c>
      <c r="H14" s="27">
        <v>14</v>
      </c>
      <c r="I14" s="35">
        <v>5</v>
      </c>
      <c r="J14" s="36">
        <v>16</v>
      </c>
      <c r="K14" s="28">
        <f t="shared" si="0"/>
        <v>30</v>
      </c>
    </row>
    <row r="15" spans="1:11" ht="15.75" customHeight="1">
      <c r="A15" s="43">
        <v>6</v>
      </c>
      <c r="B15" s="41">
        <v>19</v>
      </c>
      <c r="C15" s="46" t="s">
        <v>104</v>
      </c>
      <c r="D15" s="41" t="s">
        <v>31</v>
      </c>
      <c r="E15" s="46" t="s">
        <v>105</v>
      </c>
      <c r="F15" s="48" t="s">
        <v>40</v>
      </c>
      <c r="G15" s="41">
        <v>5</v>
      </c>
      <c r="H15" s="27">
        <v>16</v>
      </c>
      <c r="I15" s="35">
        <v>7</v>
      </c>
      <c r="J15" s="36">
        <v>14</v>
      </c>
      <c r="K15" s="28">
        <f t="shared" si="0"/>
        <v>30</v>
      </c>
    </row>
    <row r="16" spans="1:11" ht="15.75">
      <c r="A16" s="43">
        <v>7</v>
      </c>
      <c r="B16" s="41">
        <v>196</v>
      </c>
      <c r="C16" s="46" t="s">
        <v>175</v>
      </c>
      <c r="D16" s="41" t="s">
        <v>31</v>
      </c>
      <c r="E16" s="46" t="s">
        <v>118</v>
      </c>
      <c r="F16" s="48" t="s">
        <v>39</v>
      </c>
      <c r="G16" s="41">
        <v>6</v>
      </c>
      <c r="H16" s="27">
        <v>15</v>
      </c>
      <c r="I16" s="35">
        <v>6</v>
      </c>
      <c r="J16" s="36">
        <v>15</v>
      </c>
      <c r="K16" s="28">
        <f t="shared" si="0"/>
        <v>30</v>
      </c>
    </row>
    <row r="17" spans="1:11" ht="15.75">
      <c r="A17" s="43">
        <v>8</v>
      </c>
      <c r="B17" s="41">
        <v>33</v>
      </c>
      <c r="C17" s="46" t="s">
        <v>186</v>
      </c>
      <c r="D17" s="41" t="s">
        <v>31</v>
      </c>
      <c r="E17" s="46" t="s">
        <v>47</v>
      </c>
      <c r="F17" s="48" t="s">
        <v>42</v>
      </c>
      <c r="G17" s="41">
        <v>4</v>
      </c>
      <c r="H17" s="27">
        <v>18</v>
      </c>
      <c r="I17" s="35" t="s">
        <v>73</v>
      </c>
      <c r="J17" s="36">
        <v>0</v>
      </c>
      <c r="K17" s="28">
        <f t="shared" si="0"/>
        <v>18</v>
      </c>
    </row>
    <row r="18" spans="1:11" ht="15.75" customHeight="1">
      <c r="A18" s="43">
        <v>9</v>
      </c>
      <c r="B18" s="41">
        <v>330</v>
      </c>
      <c r="C18" s="46" t="s">
        <v>187</v>
      </c>
      <c r="D18" s="41" t="s">
        <v>31</v>
      </c>
      <c r="E18" s="46" t="s">
        <v>82</v>
      </c>
      <c r="F18" s="48" t="s">
        <v>42</v>
      </c>
      <c r="G18" s="41">
        <v>9</v>
      </c>
      <c r="H18" s="27">
        <v>12</v>
      </c>
      <c r="I18" s="35" t="s">
        <v>73</v>
      </c>
      <c r="J18" s="36">
        <v>0</v>
      </c>
      <c r="K18" s="28">
        <f t="shared" si="0"/>
        <v>12</v>
      </c>
    </row>
    <row r="19" spans="1:11" ht="15.75">
      <c r="A19" s="43">
        <v>10</v>
      </c>
      <c r="B19" s="57"/>
      <c r="C19" s="57"/>
      <c r="D19" s="57"/>
      <c r="E19" s="57"/>
      <c r="F19" s="48"/>
      <c r="G19" s="41"/>
      <c r="H19" s="27"/>
      <c r="I19" s="35"/>
      <c r="J19" s="36"/>
      <c r="K19" s="28"/>
    </row>
    <row r="20" spans="1:11" ht="15.75">
      <c r="A20" s="43">
        <v>11</v>
      </c>
      <c r="B20" s="57"/>
      <c r="C20" s="57"/>
      <c r="D20" s="57"/>
      <c r="E20" s="57"/>
      <c r="F20" s="48"/>
      <c r="G20" s="41"/>
      <c r="H20" s="27"/>
      <c r="I20" s="35"/>
      <c r="J20" s="36"/>
      <c r="K20" s="28"/>
    </row>
    <row r="21" spans="1:11" ht="15.75">
      <c r="A21" s="43">
        <v>12</v>
      </c>
      <c r="B21" s="57"/>
      <c r="C21" s="57"/>
      <c r="D21" s="57"/>
      <c r="E21" s="57"/>
      <c r="F21" s="48"/>
      <c r="G21" s="41"/>
      <c r="H21" s="27"/>
      <c r="I21" s="35"/>
      <c r="J21" s="36"/>
      <c r="K21" s="28"/>
    </row>
    <row r="22" spans="1:11" ht="15.75">
      <c r="A22" s="43">
        <v>13</v>
      </c>
      <c r="B22" s="57"/>
      <c r="C22" s="57"/>
      <c r="D22" s="57"/>
      <c r="E22" s="57"/>
      <c r="F22" s="48"/>
      <c r="G22" s="41"/>
      <c r="H22" s="27"/>
      <c r="I22" s="53"/>
      <c r="J22" s="36"/>
      <c r="K22" s="28"/>
    </row>
    <row r="23" spans="1:11" ht="15.75">
      <c r="A23" s="43">
        <v>14</v>
      </c>
      <c r="B23" s="57"/>
      <c r="C23" s="57"/>
      <c r="D23" s="57"/>
      <c r="E23" s="57"/>
      <c r="F23" s="48"/>
      <c r="G23" s="41"/>
      <c r="H23" s="27"/>
      <c r="I23" s="35"/>
      <c r="J23" s="36"/>
      <c r="K23" s="28"/>
    </row>
    <row r="27" spans="1:11" ht="15.75">
      <c r="A27" s="71" t="s">
        <v>23</v>
      </c>
      <c r="B27" s="71"/>
      <c r="C27" s="71"/>
      <c r="D27" s="71"/>
      <c r="E27" s="71"/>
      <c r="F27" s="71"/>
      <c r="G27" s="71"/>
      <c r="H27" s="71"/>
      <c r="I27" s="71"/>
      <c r="J27" s="71"/>
      <c r="K27" s="32"/>
    </row>
    <row r="28" spans="1:11" ht="15.75">
      <c r="A28" s="71" t="s">
        <v>138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5.75">
      <c r="A29" s="33"/>
      <c r="B29" s="33"/>
      <c r="C29" s="33"/>
      <c r="D29" s="33"/>
      <c r="E29" s="33"/>
      <c r="F29" s="34"/>
      <c r="G29" s="33"/>
      <c r="H29" s="33"/>
      <c r="I29" s="33"/>
      <c r="J29" s="33"/>
      <c r="K29" s="32"/>
    </row>
    <row r="30" spans="1:11" ht="15.75">
      <c r="A30" s="71" t="s">
        <v>44</v>
      </c>
      <c r="B30" s="71"/>
      <c r="C30" s="71"/>
      <c r="D30" s="71"/>
      <c r="E30" s="71"/>
      <c r="F30" s="71"/>
      <c r="G30" s="71"/>
      <c r="H30" s="71"/>
      <c r="I30" s="71"/>
      <c r="J30" s="71"/>
      <c r="K30" s="32"/>
    </row>
    <row r="31" spans="1:11" ht="15.75">
      <c r="A31" s="71" t="s">
        <v>53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41" spans="2:5" ht="15.75">
      <c r="B41" s="54">
        <v>850</v>
      </c>
      <c r="C41" s="56" t="s">
        <v>142</v>
      </c>
      <c r="D41" s="54" t="s">
        <v>31</v>
      </c>
      <c r="E41" s="56" t="s">
        <v>82</v>
      </c>
    </row>
    <row r="42" spans="2:5" ht="15.75">
      <c r="B42" s="54">
        <v>87</v>
      </c>
      <c r="C42" s="56" t="s">
        <v>121</v>
      </c>
      <c r="D42" s="54" t="s">
        <v>31</v>
      </c>
      <c r="E42" s="56" t="s">
        <v>47</v>
      </c>
    </row>
    <row r="43" spans="2:5" ht="15.75">
      <c r="B43" s="54">
        <v>220</v>
      </c>
      <c r="C43" s="56" t="s">
        <v>144</v>
      </c>
      <c r="D43" s="54" t="s">
        <v>31</v>
      </c>
      <c r="E43" s="56" t="s">
        <v>82</v>
      </c>
    </row>
    <row r="44" spans="2:5" ht="15.75">
      <c r="B44" s="54">
        <v>73</v>
      </c>
      <c r="C44" s="56" t="s">
        <v>91</v>
      </c>
      <c r="D44" s="54" t="s">
        <v>31</v>
      </c>
      <c r="E44" s="56" t="s">
        <v>92</v>
      </c>
    </row>
    <row r="45" spans="2:5" ht="15.75">
      <c r="B45" s="54">
        <v>99</v>
      </c>
      <c r="C45" s="56" t="s">
        <v>87</v>
      </c>
      <c r="D45" s="54" t="s">
        <v>31</v>
      </c>
      <c r="E45" s="56" t="s">
        <v>35</v>
      </c>
    </row>
    <row r="46" spans="2:5" ht="15.75">
      <c r="B46" s="54">
        <v>299</v>
      </c>
      <c r="C46" s="56" t="s">
        <v>145</v>
      </c>
      <c r="D46" s="54" t="s">
        <v>31</v>
      </c>
      <c r="E46" s="56" t="s">
        <v>47</v>
      </c>
    </row>
    <row r="47" spans="2:5" ht="15.75">
      <c r="B47" s="54">
        <v>22</v>
      </c>
      <c r="C47" s="55" t="s">
        <v>103</v>
      </c>
      <c r="D47" s="54" t="s">
        <v>31</v>
      </c>
      <c r="E47" s="56" t="s">
        <v>45</v>
      </c>
    </row>
    <row r="48" spans="2:5" ht="15.75">
      <c r="B48" s="54">
        <v>58</v>
      </c>
      <c r="C48" s="56" t="s">
        <v>85</v>
      </c>
      <c r="D48" s="54" t="s">
        <v>31</v>
      </c>
      <c r="E48" s="56" t="s">
        <v>47</v>
      </c>
    </row>
    <row r="49" spans="2:5" ht="15.75">
      <c r="B49" s="54">
        <v>545</v>
      </c>
      <c r="C49" s="56" t="s">
        <v>100</v>
      </c>
      <c r="D49" s="54" t="s">
        <v>31</v>
      </c>
      <c r="E49" s="56" t="s">
        <v>82</v>
      </c>
    </row>
    <row r="50" spans="2:5" ht="15.75">
      <c r="B50" s="54">
        <v>38</v>
      </c>
      <c r="C50" s="56" t="s">
        <v>84</v>
      </c>
      <c r="D50" s="54" t="s">
        <v>31</v>
      </c>
      <c r="E50" s="56" t="s">
        <v>81</v>
      </c>
    </row>
    <row r="51" spans="2:5" ht="15.75">
      <c r="B51" s="54">
        <v>13</v>
      </c>
      <c r="C51" s="56" t="s">
        <v>65</v>
      </c>
      <c r="D51" s="54" t="s">
        <v>31</v>
      </c>
      <c r="E51" s="56" t="s">
        <v>66</v>
      </c>
    </row>
    <row r="52" spans="2:5" ht="15.75">
      <c r="B52" s="54">
        <v>23</v>
      </c>
      <c r="C52" s="56" t="s">
        <v>86</v>
      </c>
      <c r="D52" s="54" t="s">
        <v>31</v>
      </c>
      <c r="E52" s="56" t="s">
        <v>82</v>
      </c>
    </row>
    <row r="53" spans="2:5" ht="15.75">
      <c r="B53" s="54">
        <v>37</v>
      </c>
      <c r="C53" s="55" t="s">
        <v>67</v>
      </c>
      <c r="D53" s="54" t="s">
        <v>31</v>
      </c>
      <c r="E53" s="56" t="s">
        <v>68</v>
      </c>
    </row>
    <row r="54" spans="2:5" ht="15.75">
      <c r="B54" s="54">
        <v>99</v>
      </c>
      <c r="C54" s="56" t="s">
        <v>93</v>
      </c>
      <c r="D54" s="54" t="s">
        <v>31</v>
      </c>
      <c r="E54" s="56" t="s">
        <v>47</v>
      </c>
    </row>
    <row r="55" spans="2:5" ht="15.75">
      <c r="B55" s="54">
        <v>51</v>
      </c>
      <c r="C55" s="56" t="s">
        <v>88</v>
      </c>
      <c r="D55" s="54" t="s">
        <v>31</v>
      </c>
      <c r="E55" s="56" t="s">
        <v>47</v>
      </c>
    </row>
    <row r="56" spans="2:5" ht="15.75">
      <c r="B56" s="54">
        <v>63</v>
      </c>
      <c r="C56" s="56" t="s">
        <v>89</v>
      </c>
      <c r="D56" s="54" t="s">
        <v>31</v>
      </c>
      <c r="E56" s="56" t="s">
        <v>36</v>
      </c>
    </row>
    <row r="57" spans="2:5" ht="15.75">
      <c r="B57" s="54">
        <v>151</v>
      </c>
      <c r="C57" s="56" t="s">
        <v>96</v>
      </c>
      <c r="D57" s="54">
        <v>1</v>
      </c>
      <c r="E57" s="56" t="s">
        <v>114</v>
      </c>
    </row>
    <row r="58" spans="2:5" ht="15.75">
      <c r="B58" s="54">
        <v>9</v>
      </c>
      <c r="C58" s="56" t="s">
        <v>90</v>
      </c>
      <c r="D58" s="54" t="s">
        <v>31</v>
      </c>
      <c r="E58" s="56" t="s">
        <v>80</v>
      </c>
    </row>
    <row r="59" spans="2:5" ht="15.75">
      <c r="B59" s="54">
        <v>21</v>
      </c>
      <c r="C59" s="56" t="s">
        <v>116</v>
      </c>
      <c r="D59" s="54" t="s">
        <v>31</v>
      </c>
      <c r="E59" s="56" t="s">
        <v>63</v>
      </c>
    </row>
    <row r="60" spans="2:5" ht="15.75">
      <c r="B60" s="54">
        <v>356</v>
      </c>
      <c r="C60" s="56" t="s">
        <v>119</v>
      </c>
      <c r="D60" s="54" t="s">
        <v>31</v>
      </c>
      <c r="E60" s="56" t="s">
        <v>63</v>
      </c>
    </row>
    <row r="61" spans="2:5" ht="15.75">
      <c r="B61" s="54">
        <v>17</v>
      </c>
      <c r="C61" s="56" t="s">
        <v>129</v>
      </c>
      <c r="D61" s="54" t="s">
        <v>31</v>
      </c>
      <c r="E61" s="56" t="s">
        <v>47</v>
      </c>
    </row>
    <row r="62" spans="2:5" ht="15.75">
      <c r="B62" s="54">
        <v>34</v>
      </c>
      <c r="C62" s="56" t="s">
        <v>57</v>
      </c>
      <c r="D62" s="54" t="s">
        <v>31</v>
      </c>
      <c r="E62" s="56" t="s">
        <v>58</v>
      </c>
    </row>
    <row r="63" spans="2:5" ht="15.75">
      <c r="B63" s="54">
        <v>2</v>
      </c>
      <c r="C63" s="56" t="s">
        <v>130</v>
      </c>
      <c r="D63" s="54" t="s">
        <v>31</v>
      </c>
      <c r="E63" s="56" t="s">
        <v>131</v>
      </c>
    </row>
    <row r="64" spans="2:5" ht="15.75">
      <c r="B64" s="54">
        <v>3</v>
      </c>
      <c r="C64" s="56" t="s">
        <v>117</v>
      </c>
      <c r="D64" s="54" t="s">
        <v>31</v>
      </c>
      <c r="E64" s="56" t="s">
        <v>118</v>
      </c>
    </row>
    <row r="65" spans="2:5" ht="15.75">
      <c r="B65" s="54">
        <v>147</v>
      </c>
      <c r="C65" s="56" t="s">
        <v>132</v>
      </c>
      <c r="D65" s="54" t="s">
        <v>31</v>
      </c>
      <c r="E65" s="56" t="s">
        <v>64</v>
      </c>
    </row>
    <row r="66" spans="2:5" ht="15.75">
      <c r="B66" s="54">
        <v>25</v>
      </c>
      <c r="C66" s="56" t="s">
        <v>133</v>
      </c>
      <c r="D66" s="54" t="s">
        <v>31</v>
      </c>
      <c r="E66" s="56" t="s">
        <v>113</v>
      </c>
    </row>
    <row r="67" spans="2:5" ht="15.75">
      <c r="B67" s="54">
        <v>44</v>
      </c>
      <c r="C67" s="56" t="s">
        <v>101</v>
      </c>
      <c r="D67" s="54" t="s">
        <v>31</v>
      </c>
      <c r="E67" s="56" t="s">
        <v>102</v>
      </c>
    </row>
    <row r="68" spans="2:5" ht="15.75">
      <c r="B68" s="54">
        <v>32</v>
      </c>
      <c r="C68" s="56" t="s">
        <v>83</v>
      </c>
      <c r="D68" s="54" t="s">
        <v>31</v>
      </c>
      <c r="E68" s="56" t="s">
        <v>63</v>
      </c>
    </row>
    <row r="69" spans="2:5" ht="15.75">
      <c r="B69" s="54">
        <v>72</v>
      </c>
      <c r="C69" s="56" t="s">
        <v>120</v>
      </c>
      <c r="D69" s="54" t="s">
        <v>31</v>
      </c>
      <c r="E69" s="56" t="s">
        <v>47</v>
      </c>
    </row>
    <row r="70" spans="2:5" ht="15.75">
      <c r="B70" s="54">
        <v>96</v>
      </c>
      <c r="C70" s="56" t="s">
        <v>143</v>
      </c>
      <c r="D70" s="54" t="s">
        <v>31</v>
      </c>
      <c r="E70" s="56" t="s">
        <v>47</v>
      </c>
    </row>
    <row r="71" spans="2:5" ht="15.75">
      <c r="B71" s="54">
        <v>34</v>
      </c>
      <c r="C71" s="56" t="s">
        <v>57</v>
      </c>
      <c r="D71" s="54" t="s">
        <v>31</v>
      </c>
      <c r="E71" s="56" t="s">
        <v>58</v>
      </c>
    </row>
    <row r="72" spans="2:5" ht="15.75">
      <c r="B72" s="54">
        <v>29</v>
      </c>
      <c r="C72" s="56" t="s">
        <v>176</v>
      </c>
      <c r="D72" s="54" t="s">
        <v>31</v>
      </c>
      <c r="E72" s="56" t="s">
        <v>63</v>
      </c>
    </row>
    <row r="73" spans="2:5" ht="15.75">
      <c r="B73" s="54">
        <v>810</v>
      </c>
      <c r="C73" s="56" t="s">
        <v>177</v>
      </c>
      <c r="D73" s="54" t="s">
        <v>31</v>
      </c>
      <c r="E73" s="56" t="s">
        <v>163</v>
      </c>
    </row>
    <row r="74" spans="2:5" ht="15.75">
      <c r="B74" s="54">
        <v>66</v>
      </c>
      <c r="C74" s="56" t="s">
        <v>178</v>
      </c>
      <c r="D74" s="54" t="s">
        <v>31</v>
      </c>
      <c r="E74" s="56" t="s">
        <v>179</v>
      </c>
    </row>
    <row r="75" spans="2:5" ht="15.75">
      <c r="B75" s="54">
        <v>55</v>
      </c>
      <c r="C75" s="56" t="s">
        <v>152</v>
      </c>
      <c r="D75" s="54" t="s">
        <v>31</v>
      </c>
      <c r="E75" s="56" t="s">
        <v>47</v>
      </c>
    </row>
    <row r="76" spans="2:5" ht="15.75">
      <c r="B76" s="54">
        <v>2</v>
      </c>
      <c r="C76" s="56" t="s">
        <v>180</v>
      </c>
      <c r="D76" s="54" t="s">
        <v>31</v>
      </c>
      <c r="E76" s="56" t="s">
        <v>181</v>
      </c>
    </row>
  </sheetData>
  <sheetProtection/>
  <mergeCells count="21">
    <mergeCell ref="A31:K31"/>
    <mergeCell ref="A7:A9"/>
    <mergeCell ref="B7:B9"/>
    <mergeCell ref="C7:C9"/>
    <mergeCell ref="D7:D9"/>
    <mergeCell ref="A2:K2"/>
    <mergeCell ref="A3:K3"/>
    <mergeCell ref="A4:L4"/>
    <mergeCell ref="A5:K5"/>
    <mergeCell ref="G7:H7"/>
    <mergeCell ref="A30:J30"/>
    <mergeCell ref="J8:J9"/>
    <mergeCell ref="I8:I9"/>
    <mergeCell ref="E7:E9"/>
    <mergeCell ref="I7:J7"/>
    <mergeCell ref="G8:G9"/>
    <mergeCell ref="K7:K9"/>
    <mergeCell ref="A28:K28"/>
    <mergeCell ref="H8:H9"/>
    <mergeCell ref="A27:J27"/>
    <mergeCell ref="F7:F9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83" t="s">
        <v>203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9"/>
    </row>
    <row r="3" spans="1:12" ht="15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0"/>
    </row>
    <row r="4" spans="1:12" ht="15.75" customHeight="1">
      <c r="A4" s="84" t="s">
        <v>205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8" customHeight="1">
      <c r="A5" s="85" t="s">
        <v>222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2" t="s">
        <v>22</v>
      </c>
      <c r="B7" s="72" t="s">
        <v>0</v>
      </c>
      <c r="C7" s="72" t="s">
        <v>1</v>
      </c>
      <c r="D7" s="72" t="s">
        <v>28</v>
      </c>
      <c r="E7" s="72" t="s">
        <v>25</v>
      </c>
      <c r="F7" s="72" t="s">
        <v>26</v>
      </c>
      <c r="G7" s="72" t="s">
        <v>2</v>
      </c>
      <c r="H7" s="72" t="s">
        <v>3</v>
      </c>
      <c r="I7" s="74"/>
      <c r="J7" s="72" t="s">
        <v>4</v>
      </c>
      <c r="K7" s="74"/>
      <c r="L7" s="75" t="s">
        <v>29</v>
      </c>
    </row>
    <row r="8" spans="1:12" ht="12.75">
      <c r="A8" s="73"/>
      <c r="B8" s="72"/>
      <c r="C8" s="72"/>
      <c r="D8" s="73"/>
      <c r="E8" s="73"/>
      <c r="F8" s="72"/>
      <c r="G8" s="73"/>
      <c r="H8" s="72" t="s">
        <v>11</v>
      </c>
      <c r="I8" s="79" t="s">
        <v>24</v>
      </c>
      <c r="J8" s="72" t="s">
        <v>11</v>
      </c>
      <c r="K8" s="79" t="s">
        <v>24</v>
      </c>
      <c r="L8" s="75"/>
    </row>
    <row r="9" spans="1:12" ht="27.75" customHeight="1">
      <c r="A9" s="73"/>
      <c r="B9" s="72"/>
      <c r="C9" s="72"/>
      <c r="D9" s="73"/>
      <c r="E9" s="73"/>
      <c r="F9" s="72"/>
      <c r="G9" s="73"/>
      <c r="H9" s="73"/>
      <c r="I9" s="80"/>
      <c r="J9" s="73"/>
      <c r="K9" s="80"/>
      <c r="L9" s="75"/>
    </row>
    <row r="10" spans="1:12" ht="15.75" customHeight="1">
      <c r="A10" s="51">
        <v>1</v>
      </c>
      <c r="B10" s="41">
        <v>171</v>
      </c>
      <c r="C10" s="46" t="s">
        <v>154</v>
      </c>
      <c r="D10" s="41" t="s">
        <v>31</v>
      </c>
      <c r="E10" s="46" t="s">
        <v>97</v>
      </c>
      <c r="F10" s="50" t="s">
        <v>30</v>
      </c>
      <c r="G10" s="41" t="s">
        <v>38</v>
      </c>
      <c r="H10" s="41">
        <v>2</v>
      </c>
      <c r="I10" s="27">
        <v>22</v>
      </c>
      <c r="J10" s="41">
        <v>1</v>
      </c>
      <c r="K10" s="27">
        <v>25</v>
      </c>
      <c r="L10" s="42">
        <f aca="true" t="shared" si="0" ref="L10:L18">I10+K10</f>
        <v>47</v>
      </c>
    </row>
    <row r="11" spans="1:12" ht="15.75" customHeight="1">
      <c r="A11" s="51">
        <v>2</v>
      </c>
      <c r="B11" s="41">
        <v>70</v>
      </c>
      <c r="C11" s="47" t="s">
        <v>112</v>
      </c>
      <c r="D11" s="41" t="s">
        <v>31</v>
      </c>
      <c r="E11" s="46" t="s">
        <v>97</v>
      </c>
      <c r="F11" s="50" t="s">
        <v>30</v>
      </c>
      <c r="G11" s="48" t="s">
        <v>38</v>
      </c>
      <c r="H11" s="41">
        <v>1</v>
      </c>
      <c r="I11" s="27">
        <v>25</v>
      </c>
      <c r="J11" s="41">
        <v>2</v>
      </c>
      <c r="K11" s="27">
        <v>22</v>
      </c>
      <c r="L11" s="42">
        <f t="shared" si="0"/>
        <v>47</v>
      </c>
    </row>
    <row r="12" spans="1:12" ht="15.75" customHeight="1">
      <c r="A12" s="51">
        <v>3</v>
      </c>
      <c r="B12" s="41">
        <v>151</v>
      </c>
      <c r="C12" s="46" t="s">
        <v>201</v>
      </c>
      <c r="D12" s="41" t="s">
        <v>31</v>
      </c>
      <c r="E12" s="46" t="s">
        <v>36</v>
      </c>
      <c r="F12" s="50" t="s">
        <v>30</v>
      </c>
      <c r="G12" s="48" t="s">
        <v>39</v>
      </c>
      <c r="H12" s="41">
        <v>3</v>
      </c>
      <c r="I12" s="27">
        <v>20</v>
      </c>
      <c r="J12" s="41">
        <v>4</v>
      </c>
      <c r="K12" s="27">
        <v>18</v>
      </c>
      <c r="L12" s="42">
        <f t="shared" si="0"/>
        <v>38</v>
      </c>
    </row>
    <row r="13" spans="1:12" ht="15.75" customHeight="1">
      <c r="A13" s="51">
        <v>4</v>
      </c>
      <c r="B13" s="41">
        <v>220</v>
      </c>
      <c r="C13" s="46" t="s">
        <v>144</v>
      </c>
      <c r="D13" s="41" t="s">
        <v>31</v>
      </c>
      <c r="E13" s="46" t="s">
        <v>163</v>
      </c>
      <c r="F13" s="50" t="s">
        <v>30</v>
      </c>
      <c r="G13" s="48" t="s">
        <v>42</v>
      </c>
      <c r="H13" s="41">
        <v>5</v>
      </c>
      <c r="I13" s="27">
        <v>16</v>
      </c>
      <c r="J13" s="41">
        <v>3</v>
      </c>
      <c r="K13" s="27">
        <v>20</v>
      </c>
      <c r="L13" s="42">
        <f t="shared" si="0"/>
        <v>36</v>
      </c>
    </row>
    <row r="14" spans="1:12" ht="15.75" customHeight="1">
      <c r="A14" s="51">
        <v>5</v>
      </c>
      <c r="B14" s="41">
        <v>3</v>
      </c>
      <c r="C14" s="46" t="s">
        <v>117</v>
      </c>
      <c r="D14" s="41" t="s">
        <v>31</v>
      </c>
      <c r="E14" s="46" t="s">
        <v>97</v>
      </c>
      <c r="F14" s="50" t="s">
        <v>30</v>
      </c>
      <c r="G14" s="48" t="s">
        <v>42</v>
      </c>
      <c r="H14" s="41">
        <v>4</v>
      </c>
      <c r="I14" s="27">
        <v>18</v>
      </c>
      <c r="J14" s="41">
        <v>6</v>
      </c>
      <c r="K14" s="27">
        <v>15</v>
      </c>
      <c r="L14" s="42">
        <f t="shared" si="0"/>
        <v>33</v>
      </c>
    </row>
    <row r="15" spans="1:12" ht="15.75" customHeight="1">
      <c r="A15" s="51">
        <v>6</v>
      </c>
      <c r="B15" s="41">
        <v>85</v>
      </c>
      <c r="C15" s="46" t="s">
        <v>98</v>
      </c>
      <c r="D15" s="41" t="s">
        <v>31</v>
      </c>
      <c r="E15" s="46" t="s">
        <v>174</v>
      </c>
      <c r="F15" s="50" t="s">
        <v>30</v>
      </c>
      <c r="G15" s="41" t="s">
        <v>38</v>
      </c>
      <c r="H15" s="41">
        <v>6</v>
      </c>
      <c r="I15" s="27">
        <v>15</v>
      </c>
      <c r="J15" s="41">
        <v>5</v>
      </c>
      <c r="K15" s="27">
        <v>16</v>
      </c>
      <c r="L15" s="42">
        <f t="shared" si="0"/>
        <v>31</v>
      </c>
    </row>
    <row r="16" spans="1:12" ht="15.75" customHeight="1">
      <c r="A16" s="51">
        <v>7</v>
      </c>
      <c r="B16" s="41">
        <v>55</v>
      </c>
      <c r="C16" s="46" t="s">
        <v>152</v>
      </c>
      <c r="D16" s="41" t="s">
        <v>31</v>
      </c>
      <c r="E16" s="46" t="s">
        <v>36</v>
      </c>
      <c r="F16" s="49" t="s">
        <v>30</v>
      </c>
      <c r="G16" s="48" t="s">
        <v>42</v>
      </c>
      <c r="H16" s="41">
        <v>8</v>
      </c>
      <c r="I16" s="27">
        <v>13</v>
      </c>
      <c r="J16" s="41">
        <v>7</v>
      </c>
      <c r="K16" s="27">
        <v>14</v>
      </c>
      <c r="L16" s="42">
        <f t="shared" si="0"/>
        <v>27</v>
      </c>
    </row>
    <row r="17" spans="1:12" ht="15.75" customHeight="1">
      <c r="A17" s="51">
        <v>8</v>
      </c>
      <c r="B17" s="41">
        <v>196</v>
      </c>
      <c r="C17" s="46" t="s">
        <v>175</v>
      </c>
      <c r="D17" s="41" t="s">
        <v>31</v>
      </c>
      <c r="E17" s="46" t="s">
        <v>97</v>
      </c>
      <c r="F17" s="50" t="s">
        <v>30</v>
      </c>
      <c r="G17" s="48" t="s">
        <v>42</v>
      </c>
      <c r="H17" s="41">
        <v>7</v>
      </c>
      <c r="I17" s="27">
        <v>14</v>
      </c>
      <c r="J17" s="41">
        <v>8</v>
      </c>
      <c r="K17" s="27">
        <v>13</v>
      </c>
      <c r="L17" s="42">
        <f t="shared" si="0"/>
        <v>27</v>
      </c>
    </row>
    <row r="18" spans="1:12" ht="15.75" customHeight="1">
      <c r="A18" s="51">
        <v>9</v>
      </c>
      <c r="B18" s="41">
        <v>4</v>
      </c>
      <c r="C18" s="46" t="s">
        <v>221</v>
      </c>
      <c r="D18" s="41" t="s">
        <v>31</v>
      </c>
      <c r="E18" s="46" t="s">
        <v>97</v>
      </c>
      <c r="F18" s="50" t="s">
        <v>30</v>
      </c>
      <c r="G18" s="48" t="s">
        <v>41</v>
      </c>
      <c r="H18" s="41">
        <v>9</v>
      </c>
      <c r="I18" s="27">
        <v>12</v>
      </c>
      <c r="J18" s="41">
        <v>9</v>
      </c>
      <c r="K18" s="27">
        <v>12</v>
      </c>
      <c r="L18" s="42">
        <f t="shared" si="0"/>
        <v>24</v>
      </c>
    </row>
    <row r="19" spans="2:13" ht="15.75">
      <c r="B19" s="33" t="s">
        <v>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2"/>
    </row>
    <row r="20" spans="2:13" ht="15.75">
      <c r="B20" s="33" t="s">
        <v>139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3" ht="15.75">
      <c r="B21" s="33" t="s">
        <v>44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</row>
    <row r="22" spans="2:13" ht="15.75">
      <c r="B22" s="71" t="s">
        <v>53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</sheetData>
  <sheetProtection/>
  <mergeCells count="19">
    <mergeCell ref="B22:M22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2019-09-22T01:57:44Z</cp:lastPrinted>
  <dcterms:created xsi:type="dcterms:W3CDTF">1996-10-08T23:32:33Z</dcterms:created>
  <dcterms:modified xsi:type="dcterms:W3CDTF">2019-09-22T02:22:53Z</dcterms:modified>
  <cp:category/>
  <cp:version/>
  <cp:contentType/>
  <cp:contentStatus/>
</cp:coreProperties>
</file>