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tabRatio="699" activeTab="0"/>
  </bookViews>
  <sheets>
    <sheet name="Кубок 50 см pw" sheetId="1" r:id="rId1"/>
    <sheet name="Кубок 50 см" sheetId="2" r:id="rId2"/>
    <sheet name="Кубок 65 см" sheetId="3" r:id="rId3"/>
    <sheet name="Кубок 85 см" sheetId="4" r:id="rId4"/>
    <sheet name="Кубок 125 см" sheetId="5" r:id="rId5"/>
    <sheet name="Кубок 500 см" sheetId="6" r:id="rId6"/>
    <sheet name="Кубок Ветераны" sheetId="7" r:id="rId7"/>
    <sheet name="Кубок Хобби" sheetId="8" r:id="rId8"/>
  </sheets>
  <definedNames>
    <definedName name="_xlnm.Print_Area" localSheetId="1">'Кубок 50 см'!$A$1:$IO$20</definedName>
    <definedName name="_xlnm.Print_Area" localSheetId="0">'Кубок 50 см pw'!$A$1:$IO$18</definedName>
    <definedName name="_xlnm.Print_Area" localSheetId="5">'Кубок 500 см'!#REF!</definedName>
    <definedName name="_xlnm.Print_Area" localSheetId="2">'Кубок 65 см'!#REF!</definedName>
    <definedName name="_xlnm.Print_Area" localSheetId="3">'Кубок 85 см'!#REF!</definedName>
  </definedNames>
  <calcPr calcMode="manual" fullCalcOnLoad="1"/>
</workbook>
</file>

<file path=xl/sharedStrings.xml><?xml version="1.0" encoding="utf-8"?>
<sst xmlns="http://schemas.openxmlformats.org/spreadsheetml/2006/main" count="629" uniqueCount="155">
  <si>
    <t>Ст. №</t>
  </si>
  <si>
    <t>Фамилия,  Имя</t>
  </si>
  <si>
    <t>Мото</t>
  </si>
  <si>
    <t>I-й заезд</t>
  </si>
  <si>
    <t>II-й заезд</t>
  </si>
  <si>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</si>
  <si>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</si>
  <si>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</si>
  <si>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</si>
  <si>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</si>
  <si>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</si>
  <si>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</si>
  <si>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</si>
  <si>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</si>
  <si>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</si>
  <si>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</si>
  <si>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</si>
  <si>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очки</t>
  </si>
  <si>
    <t>sym</t>
  </si>
  <si>
    <t>Sym</t>
  </si>
  <si>
    <t>чр1</t>
  </si>
  <si>
    <t>чр2</t>
  </si>
  <si>
    <t xml:space="preserve">Место </t>
  </si>
  <si>
    <t>Главный судья</t>
  </si>
  <si>
    <t>лич. очки</t>
  </si>
  <si>
    <t>Город (край, район, область)</t>
  </si>
  <si>
    <t>Команда</t>
  </si>
  <si>
    <t>ПРОТОКОЛ  ЛИЧНОГО  ЗАЧЕТА</t>
  </si>
  <si>
    <t>Раз  ряд</t>
  </si>
  <si>
    <t>Сумма очков              в личном зачете</t>
  </si>
  <si>
    <t>лично</t>
  </si>
  <si>
    <t>б/р</t>
  </si>
  <si>
    <t>Шевченко Петр</t>
  </si>
  <si>
    <t>МС</t>
  </si>
  <si>
    <t>г. Уссурийск</t>
  </si>
  <si>
    <t>г. Владивосток</t>
  </si>
  <si>
    <t>г. Находка</t>
  </si>
  <si>
    <t>KAW</t>
  </si>
  <si>
    <t>HON</t>
  </si>
  <si>
    <t>КТМ</t>
  </si>
  <si>
    <t>SUZ</t>
  </si>
  <si>
    <t>YAM</t>
  </si>
  <si>
    <t xml:space="preserve">г. Уссурийск </t>
  </si>
  <si>
    <t xml:space="preserve">Главный секретарь                                                                                         </t>
  </si>
  <si>
    <t xml:space="preserve">г. Владивосток </t>
  </si>
  <si>
    <t>г.Владивосток</t>
  </si>
  <si>
    <t>Козлов Кирилл</t>
  </si>
  <si>
    <r>
      <t>Класс 65см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 мальчики)</t>
    </r>
  </si>
  <si>
    <r>
      <t>Класс 85см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 юноши)</t>
    </r>
  </si>
  <si>
    <r>
      <t>Класс 500см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.( мужчины)</t>
    </r>
  </si>
  <si>
    <t>Маевский Александр</t>
  </si>
  <si>
    <t>Новиков Евгений</t>
  </si>
  <si>
    <t>Корсун Павел</t>
  </si>
  <si>
    <t>судья Всероссийской категории                                                                                            С.А. Трутнев</t>
  </si>
  <si>
    <r>
      <t>Класс 125см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 xml:space="preserve"> ( мужчины)</t>
    </r>
  </si>
  <si>
    <r>
      <t>Класс 50см</t>
    </r>
    <r>
      <rPr>
        <b/>
        <i/>
        <vertAlign val="superscript"/>
        <sz val="12"/>
        <rFont val="Times New Roman"/>
        <family val="1"/>
      </rPr>
      <t>3</t>
    </r>
  </si>
  <si>
    <t>Ревун Александр</t>
  </si>
  <si>
    <r>
      <t>Класс 500см</t>
    </r>
    <r>
      <rPr>
        <b/>
        <i/>
        <vertAlign val="superscript"/>
        <sz val="9"/>
        <rFont val="Times New Roman"/>
        <family val="1"/>
      </rPr>
      <t>3</t>
    </r>
    <r>
      <rPr>
        <b/>
        <i/>
        <sz val="9"/>
        <rFont val="Times New Roman"/>
        <family val="1"/>
      </rPr>
      <t xml:space="preserve"> ( хобби)</t>
    </r>
  </si>
  <si>
    <t>н/ф</t>
  </si>
  <si>
    <t>н/с</t>
  </si>
  <si>
    <t>Наумов Валерий</t>
  </si>
  <si>
    <t xml:space="preserve">Наумова Юлия </t>
  </si>
  <si>
    <t>п. Славянка</t>
  </si>
  <si>
    <t>Полиданов Дмитрий</t>
  </si>
  <si>
    <t>Манышев Иван</t>
  </si>
  <si>
    <t>п. Новый</t>
  </si>
  <si>
    <t>г. Дальнегорск</t>
  </si>
  <si>
    <t>Швецов Алексей</t>
  </si>
  <si>
    <t>Лукашов Артемий</t>
  </si>
  <si>
    <t>Васёв Артем</t>
  </si>
  <si>
    <t>Юхнов Сергей</t>
  </si>
  <si>
    <r>
      <t>Класс pw 50см</t>
    </r>
    <r>
      <rPr>
        <b/>
        <i/>
        <vertAlign val="superscript"/>
        <sz val="12"/>
        <rFont val="Times New Roman"/>
        <family val="1"/>
      </rPr>
      <t xml:space="preserve">3  </t>
    </r>
  </si>
  <si>
    <t>Краснокутский Василий</t>
  </si>
  <si>
    <t>Мостовой Артем</t>
  </si>
  <si>
    <t>Столяров Игорь</t>
  </si>
  <si>
    <t>Немцов Анатолий</t>
  </si>
  <si>
    <t>Тимченко Михаил</t>
  </si>
  <si>
    <t>Кирик Дмитрий</t>
  </si>
  <si>
    <t>Павлов Никита</t>
  </si>
  <si>
    <t>Швецов Егор</t>
  </si>
  <si>
    <t>Челышков Давид</t>
  </si>
  <si>
    <t>Баев Александр</t>
  </si>
  <si>
    <t>Е.В. Старков</t>
  </si>
  <si>
    <t xml:space="preserve">   </t>
  </si>
  <si>
    <t xml:space="preserve">                    </t>
  </si>
  <si>
    <t>судья Всероссийской категории                                                                       С.А. Трутнев</t>
  </si>
  <si>
    <t>судья Всеросийской категории                                                                                               Е.В. Старков</t>
  </si>
  <si>
    <t>судья Всероссийской категории                                                                                           Е.В. Старков</t>
  </si>
  <si>
    <t>судья Всероссийской категории                                                                                            Е.В. Старков</t>
  </si>
  <si>
    <t>судья Всеросийской категории                                                                                             Е.В. Старков</t>
  </si>
  <si>
    <t>Карайченцев Лев</t>
  </si>
  <si>
    <t>п. Ливадия</t>
  </si>
  <si>
    <t>г. Большой Камень</t>
  </si>
  <si>
    <t>г. Хабаровск</t>
  </si>
  <si>
    <t>Таран Даниил</t>
  </si>
  <si>
    <t>Таран Александр</t>
  </si>
  <si>
    <t>г. Арсеньев</t>
  </si>
  <si>
    <t>PW</t>
  </si>
  <si>
    <r>
      <t>Класс 500см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 xml:space="preserve"> ( ветераны)</t>
    </r>
  </si>
  <si>
    <t>Савин Макар</t>
  </si>
  <si>
    <t>г.Уссурийск</t>
  </si>
  <si>
    <t>Саратов Артур</t>
  </si>
  <si>
    <t>Дробязин Кирилл</t>
  </si>
  <si>
    <t>Буйвол Даниил</t>
  </si>
  <si>
    <t>Злотеску Дмитрий</t>
  </si>
  <si>
    <t>Кондратьев Данил</t>
  </si>
  <si>
    <t>Тимченко Артём</t>
  </si>
  <si>
    <t xml:space="preserve">Моняков Иван </t>
  </si>
  <si>
    <t>Дынников Платон</t>
  </si>
  <si>
    <t>Гуськов Савелий</t>
  </si>
  <si>
    <t>Бочкарёв Иван</t>
  </si>
  <si>
    <t>с. Хороль</t>
  </si>
  <si>
    <t>Васюченко Дмитрий</t>
  </si>
  <si>
    <t>Лысик Иван</t>
  </si>
  <si>
    <t>Челышков Захар</t>
  </si>
  <si>
    <t>Прокопьев Максим</t>
  </si>
  <si>
    <t>Манько Максим</t>
  </si>
  <si>
    <t>Усов Максим</t>
  </si>
  <si>
    <t>Чучвага Алексей</t>
  </si>
  <si>
    <t>Перелыгин Константин</t>
  </si>
  <si>
    <t>Перемышленников Виталий</t>
  </si>
  <si>
    <t>1ю</t>
  </si>
  <si>
    <t>2ю</t>
  </si>
  <si>
    <t>3ю</t>
  </si>
  <si>
    <t>КМС</t>
  </si>
  <si>
    <t>п. Новошахтинский</t>
  </si>
  <si>
    <t xml:space="preserve">Открытый Кубок Приморского края по мотокроссу 2022 года.  1-й этап.                                                                                                                             </t>
  </si>
  <si>
    <t>г.Артем (Приморский край)                                                                                                             24 апреля 2022 года.</t>
  </si>
  <si>
    <t>Шумиловский Дамир</t>
  </si>
  <si>
    <t>Федулеев Савелий</t>
  </si>
  <si>
    <t>Киселев Федор</t>
  </si>
  <si>
    <t>Болдырев Григорий</t>
  </si>
  <si>
    <t>г. Артем</t>
  </si>
  <si>
    <t>Лукьянов Роман</t>
  </si>
  <si>
    <t>Гриценко Евгений</t>
  </si>
  <si>
    <t>Верясов Вячеслав</t>
  </si>
  <si>
    <t>Каспин Евсей</t>
  </si>
  <si>
    <t>Когут Евгений</t>
  </si>
  <si>
    <t>Власов Семен</t>
  </si>
  <si>
    <t>Маринюк Артем</t>
  </si>
  <si>
    <t>п. Ярославский</t>
  </si>
  <si>
    <t>Лутков Алексей</t>
  </si>
  <si>
    <t>Соломин Алексей</t>
  </si>
  <si>
    <t>Зайцев Степан</t>
  </si>
  <si>
    <t>Лысик Михаил</t>
  </si>
  <si>
    <t>Ячный Александр</t>
  </si>
  <si>
    <t>Барабанов Сергей</t>
  </si>
  <si>
    <t>Шарапов Андрей</t>
  </si>
  <si>
    <t>Исаева Анастасия</t>
  </si>
  <si>
    <t>Речкунов Роман</t>
  </si>
  <si>
    <t>Брухтей Александр</t>
  </si>
  <si>
    <t>п. Кировский</t>
  </si>
  <si>
    <t>Зенина Александра</t>
  </si>
  <si>
    <t>Николаев Дмитрий</t>
  </si>
  <si>
    <t>Курасов Антон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</si>
</sst>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color indexed="23"/>
      <name val="Cambria"/>
      <family val="1"/>
    </font>
    <font>
      <sz val="10"/>
      <color indexed="23"/>
      <name val="Cambria"/>
      <family val="1"/>
    </font>
    <font>
      <b/>
      <u val="single"/>
      <sz val="11"/>
      <color indexed="23"/>
      <name val="Cambria"/>
      <family val="1"/>
    </font>
    <font>
      <sz val="11"/>
      <color indexed="23"/>
      <name val="Cambria"/>
      <family val="1"/>
    </font>
    <font>
      <b/>
      <sz val="10"/>
      <color indexed="23"/>
      <name val="Cambria"/>
      <family val="1"/>
    </font>
    <font>
      <b/>
      <i/>
      <sz val="12"/>
      <color indexed="23"/>
      <name val="Cambria"/>
      <family val="1"/>
    </font>
    <font>
      <b/>
      <sz val="12"/>
      <color indexed="23"/>
      <name val="Cambria"/>
      <family val="1"/>
    </font>
    <font>
      <sz val="12"/>
      <color indexed="23"/>
      <name val="Cambria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vertAlign val="superscript"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/>
    </xf>
    <xf numFmtId="0" fontId="14" fillId="34" borderId="11" xfId="0" applyFont="1" applyFill="1" applyBorder="1" applyAlignment="1" applyProtection="1">
      <alignment horizontal="center" vertical="center"/>
      <protection locked="0"/>
    </xf>
    <xf numFmtId="0" fontId="14" fillId="35" borderId="12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34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35" borderId="11" xfId="0" applyFont="1" applyFill="1" applyBorder="1" applyAlignment="1" applyProtection="1">
      <alignment horizontal="center" vertical="center"/>
      <protection locked="0"/>
    </xf>
    <xf numFmtId="0" fontId="14" fillId="36" borderId="15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Fill="1" applyBorder="1" applyAlignment="1" applyProtection="1">
      <alignment horizontal="left" vertical="center"/>
      <protection locked="0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 applyProtection="1">
      <alignment horizontal="center" vertical="center"/>
      <protection locked="0"/>
    </xf>
    <xf numFmtId="0" fontId="14" fillId="37" borderId="11" xfId="0" applyFont="1" applyFill="1" applyBorder="1" applyAlignment="1" applyProtection="1">
      <alignment horizontal="center" vertical="center"/>
      <protection locked="0"/>
    </xf>
    <xf numFmtId="0" fontId="14" fillId="37" borderId="13" xfId="0" applyFont="1" applyFill="1" applyBorder="1" applyAlignment="1" applyProtection="1">
      <alignment horizontal="center" vertical="center"/>
      <protection locked="0"/>
    </xf>
    <xf numFmtId="0" fontId="57" fillId="0" borderId="11" xfId="0" applyFont="1" applyFill="1" applyBorder="1" applyAlignment="1" applyProtection="1">
      <alignment horizontal="center" vertical="center"/>
      <protection locked="0"/>
    </xf>
    <xf numFmtId="0" fontId="57" fillId="0" borderId="11" xfId="0" applyFont="1" applyFill="1" applyBorder="1" applyAlignment="1" applyProtection="1">
      <alignment horizontal="left" vertical="center" wrapText="1"/>
      <protection locked="0"/>
    </xf>
    <xf numFmtId="0" fontId="57" fillId="0" borderId="11" xfId="0" applyFont="1" applyFill="1" applyBorder="1" applyAlignment="1" applyProtection="1">
      <alignment horizontal="left" vertical="center"/>
      <protection locked="0"/>
    </xf>
    <xf numFmtId="0" fontId="14" fillId="37" borderId="11" xfId="0" applyFont="1" applyFill="1" applyBorder="1" applyAlignment="1" applyProtection="1">
      <alignment horizontal="left" vertical="center" wrapText="1"/>
      <protection locked="0"/>
    </xf>
    <xf numFmtId="0" fontId="14" fillId="37" borderId="11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left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8" fillId="35" borderId="11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8" fillId="34" borderId="11" xfId="0" applyFont="1" applyFill="1" applyBorder="1" applyAlignment="1" applyProtection="1">
      <alignment horizontal="center" vertical="center" wrapText="1"/>
      <protection locked="0"/>
    </xf>
    <xf numFmtId="0" fontId="15" fillId="34" borderId="1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18" fillId="35" borderId="22" xfId="0" applyFont="1" applyFill="1" applyBorder="1" applyAlignment="1" applyProtection="1">
      <alignment horizontal="center" vertical="center" wrapText="1"/>
      <protection locked="0"/>
    </xf>
    <xf numFmtId="0" fontId="18" fillId="35" borderId="23" xfId="0" applyFont="1" applyFill="1" applyBorder="1" applyAlignment="1" applyProtection="1">
      <alignment horizontal="center" vertical="center" wrapText="1"/>
      <protection locked="0"/>
    </xf>
    <xf numFmtId="0" fontId="18" fillId="34" borderId="24" xfId="0" applyFont="1" applyFill="1" applyBorder="1" applyAlignment="1" applyProtection="1">
      <alignment horizontal="center" vertical="center" wrapText="1"/>
      <protection locked="0"/>
    </xf>
    <xf numFmtId="0" fontId="18" fillId="34" borderId="25" xfId="0" applyFont="1" applyFill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horizontal="center" vertical="center" wrapText="1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18" fillId="34" borderId="28" xfId="0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Border="1" applyAlignment="1" applyProtection="1">
      <alignment horizontal="center" vertical="center" wrapText="1"/>
      <protection locked="0"/>
    </xf>
    <xf numFmtId="0" fontId="15" fillId="0" borderId="2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1104900</xdr:colOff>
      <xdr:row>0</xdr:row>
      <xdr:rowOff>171450</xdr:rowOff>
    </xdr:from>
    <xdr:to>
      <xdr:col>6</xdr:col>
      <xdr:colOff>800100</xdr:colOff>
      <xdr:row>0</xdr:row>
      <xdr:rowOff>885825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71450"/>
          <a:ext cx="800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18</xdr:row>
      <xdr:rowOff>0</xdr:rowOff>
    </xdr:from>
    <xdr:to>
      <xdr:col>11</xdr:col>
      <xdr:colOff>600075</xdr:colOff>
      <xdr:row>18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44862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18</xdr:row>
      <xdr:rowOff>0</xdr:rowOff>
    </xdr:from>
    <xdr:to>
      <xdr:col>11</xdr:col>
      <xdr:colOff>600075</xdr:colOff>
      <xdr:row>18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44862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18</xdr:row>
      <xdr:rowOff>0</xdr:rowOff>
    </xdr:from>
    <xdr:to>
      <xdr:col>11</xdr:col>
      <xdr:colOff>600075</xdr:colOff>
      <xdr:row>18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44862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18</xdr:row>
      <xdr:rowOff>0</xdr:rowOff>
    </xdr:from>
    <xdr:to>
      <xdr:col>11</xdr:col>
      <xdr:colOff>600075</xdr:colOff>
      <xdr:row>18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44862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419100</xdr:colOff>
      <xdr:row>18</xdr:row>
      <xdr:rowOff>0</xdr:rowOff>
    </xdr:to>
    <xdr:pic>
      <xdr:nvPicPr>
        <xdr:cNvPr id="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486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18</xdr:row>
      <xdr:rowOff>0</xdr:rowOff>
    </xdr:from>
    <xdr:to>
      <xdr:col>11</xdr:col>
      <xdr:colOff>323850</xdr:colOff>
      <xdr:row>18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4862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419100</xdr:colOff>
      <xdr:row>18</xdr:row>
      <xdr:rowOff>0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486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18</xdr:row>
      <xdr:rowOff>0</xdr:rowOff>
    </xdr:from>
    <xdr:to>
      <xdr:col>11</xdr:col>
      <xdr:colOff>323850</xdr:colOff>
      <xdr:row>18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4862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419100</xdr:colOff>
      <xdr:row>18</xdr:row>
      <xdr:rowOff>0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486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18</xdr:row>
      <xdr:rowOff>0</xdr:rowOff>
    </xdr:from>
    <xdr:to>
      <xdr:col>11</xdr:col>
      <xdr:colOff>323850</xdr:colOff>
      <xdr:row>18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4862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419100</xdr:colOff>
      <xdr:row>18</xdr:row>
      <xdr:rowOff>0</xdr:rowOff>
    </xdr:to>
    <xdr:pic>
      <xdr:nvPicPr>
        <xdr:cNvPr id="1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486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18</xdr:row>
      <xdr:rowOff>0</xdr:rowOff>
    </xdr:from>
    <xdr:to>
      <xdr:col>11</xdr:col>
      <xdr:colOff>323850</xdr:colOff>
      <xdr:row>18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4862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419100</xdr:colOff>
      <xdr:row>18</xdr:row>
      <xdr:rowOff>0</xdr:rowOff>
    </xdr:to>
    <xdr:pic>
      <xdr:nvPicPr>
        <xdr:cNvPr id="1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486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18</xdr:row>
      <xdr:rowOff>0</xdr:rowOff>
    </xdr:from>
    <xdr:to>
      <xdr:col>11</xdr:col>
      <xdr:colOff>323850</xdr:colOff>
      <xdr:row>18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4862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419100</xdr:colOff>
      <xdr:row>20</xdr:row>
      <xdr:rowOff>0</xdr:rowOff>
    </xdr:to>
    <xdr:pic>
      <xdr:nvPicPr>
        <xdr:cNvPr id="1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8101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419100</xdr:colOff>
      <xdr:row>20</xdr:row>
      <xdr:rowOff>0</xdr:rowOff>
    </xdr:to>
    <xdr:pic>
      <xdr:nvPicPr>
        <xdr:cNvPr id="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8101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419100</xdr:colOff>
      <xdr:row>20</xdr:row>
      <xdr:rowOff>0</xdr:rowOff>
    </xdr:to>
    <xdr:pic>
      <xdr:nvPicPr>
        <xdr:cNvPr id="1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8101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20</xdr:row>
      <xdr:rowOff>0</xdr:rowOff>
    </xdr:from>
    <xdr:to>
      <xdr:col>11</xdr:col>
      <xdr:colOff>323850</xdr:colOff>
      <xdr:row>20</xdr:row>
      <xdr:rowOff>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8101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419100</xdr:colOff>
      <xdr:row>20</xdr:row>
      <xdr:rowOff>0</xdr:rowOff>
    </xdr:to>
    <xdr:pic>
      <xdr:nvPicPr>
        <xdr:cNvPr id="2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8101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20</xdr:row>
      <xdr:rowOff>0</xdr:rowOff>
    </xdr:from>
    <xdr:to>
      <xdr:col>11</xdr:col>
      <xdr:colOff>323850</xdr:colOff>
      <xdr:row>20</xdr:row>
      <xdr:rowOff>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8101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419100</xdr:colOff>
      <xdr:row>20</xdr:row>
      <xdr:rowOff>0</xdr:rowOff>
    </xdr:to>
    <xdr:pic>
      <xdr:nvPicPr>
        <xdr:cNvPr id="2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8101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20</xdr:row>
      <xdr:rowOff>0</xdr:rowOff>
    </xdr:from>
    <xdr:to>
      <xdr:col>11</xdr:col>
      <xdr:colOff>323850</xdr:colOff>
      <xdr:row>20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8101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0</xdr:row>
      <xdr:rowOff>0</xdr:rowOff>
    </xdr:from>
    <xdr:to>
      <xdr:col>2</xdr:col>
      <xdr:colOff>1581150</xdr:colOff>
      <xdr:row>1</xdr:row>
      <xdr:rowOff>9525</xdr:rowOff>
    </xdr:to>
    <xdr:pic>
      <xdr:nvPicPr>
        <xdr:cNvPr id="24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0"/>
          <a:ext cx="1219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123825</xdr:rowOff>
    </xdr:from>
    <xdr:to>
      <xdr:col>8</xdr:col>
      <xdr:colOff>47625</xdr:colOff>
      <xdr:row>0</xdr:row>
      <xdr:rowOff>971550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123825"/>
          <a:ext cx="828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20</xdr:row>
      <xdr:rowOff>0</xdr:rowOff>
    </xdr:from>
    <xdr:to>
      <xdr:col>11</xdr:col>
      <xdr:colOff>600075</xdr:colOff>
      <xdr:row>20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49815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20</xdr:row>
      <xdr:rowOff>0</xdr:rowOff>
    </xdr:from>
    <xdr:to>
      <xdr:col>11</xdr:col>
      <xdr:colOff>600075</xdr:colOff>
      <xdr:row>20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49815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20</xdr:row>
      <xdr:rowOff>0</xdr:rowOff>
    </xdr:from>
    <xdr:to>
      <xdr:col>11</xdr:col>
      <xdr:colOff>600075</xdr:colOff>
      <xdr:row>20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49815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20</xdr:row>
      <xdr:rowOff>0</xdr:rowOff>
    </xdr:from>
    <xdr:to>
      <xdr:col>11</xdr:col>
      <xdr:colOff>600075</xdr:colOff>
      <xdr:row>20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49815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419100</xdr:colOff>
      <xdr:row>20</xdr:row>
      <xdr:rowOff>0</xdr:rowOff>
    </xdr:to>
    <xdr:pic>
      <xdr:nvPicPr>
        <xdr:cNvPr id="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981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20</xdr:row>
      <xdr:rowOff>0</xdr:rowOff>
    </xdr:from>
    <xdr:to>
      <xdr:col>11</xdr:col>
      <xdr:colOff>323850</xdr:colOff>
      <xdr:row>20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9815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419100</xdr:colOff>
      <xdr:row>20</xdr:row>
      <xdr:rowOff>0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981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20</xdr:row>
      <xdr:rowOff>0</xdr:rowOff>
    </xdr:from>
    <xdr:to>
      <xdr:col>11</xdr:col>
      <xdr:colOff>323850</xdr:colOff>
      <xdr:row>20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9815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419100</xdr:colOff>
      <xdr:row>20</xdr:row>
      <xdr:rowOff>0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981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20</xdr:row>
      <xdr:rowOff>0</xdr:rowOff>
    </xdr:from>
    <xdr:to>
      <xdr:col>11</xdr:col>
      <xdr:colOff>323850</xdr:colOff>
      <xdr:row>20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9815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419100</xdr:colOff>
      <xdr:row>20</xdr:row>
      <xdr:rowOff>0</xdr:rowOff>
    </xdr:to>
    <xdr:pic>
      <xdr:nvPicPr>
        <xdr:cNvPr id="1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981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20</xdr:row>
      <xdr:rowOff>0</xdr:rowOff>
    </xdr:from>
    <xdr:to>
      <xdr:col>11</xdr:col>
      <xdr:colOff>323850</xdr:colOff>
      <xdr:row>20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9815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419100</xdr:colOff>
      <xdr:row>20</xdr:row>
      <xdr:rowOff>0</xdr:rowOff>
    </xdr:to>
    <xdr:pic>
      <xdr:nvPicPr>
        <xdr:cNvPr id="1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981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20</xdr:row>
      <xdr:rowOff>0</xdr:rowOff>
    </xdr:from>
    <xdr:to>
      <xdr:col>11</xdr:col>
      <xdr:colOff>323850</xdr:colOff>
      <xdr:row>20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9815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419100</xdr:colOff>
      <xdr:row>22</xdr:row>
      <xdr:rowOff>0</xdr:rowOff>
    </xdr:to>
    <xdr:pic>
      <xdr:nvPicPr>
        <xdr:cNvPr id="1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3054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22</xdr:row>
      <xdr:rowOff>0</xdr:rowOff>
    </xdr:from>
    <xdr:to>
      <xdr:col>11</xdr:col>
      <xdr:colOff>323850</xdr:colOff>
      <xdr:row>22</xdr:row>
      <xdr:rowOff>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305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419100</xdr:colOff>
      <xdr:row>22</xdr:row>
      <xdr:rowOff>0</xdr:rowOff>
    </xdr:to>
    <xdr:pic>
      <xdr:nvPicPr>
        <xdr:cNvPr id="1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3054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22</xdr:row>
      <xdr:rowOff>0</xdr:rowOff>
    </xdr:from>
    <xdr:to>
      <xdr:col>11</xdr:col>
      <xdr:colOff>323850</xdr:colOff>
      <xdr:row>22</xdr:row>
      <xdr:rowOff>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305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419100</xdr:colOff>
      <xdr:row>22</xdr:row>
      <xdr:rowOff>0</xdr:rowOff>
    </xdr:to>
    <xdr:pic>
      <xdr:nvPicPr>
        <xdr:cNvPr id="2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3054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22</xdr:row>
      <xdr:rowOff>0</xdr:rowOff>
    </xdr:from>
    <xdr:to>
      <xdr:col>11</xdr:col>
      <xdr:colOff>323850</xdr:colOff>
      <xdr:row>22</xdr:row>
      <xdr:rowOff>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305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419100</xdr:colOff>
      <xdr:row>22</xdr:row>
      <xdr:rowOff>0</xdr:rowOff>
    </xdr:to>
    <xdr:pic>
      <xdr:nvPicPr>
        <xdr:cNvPr id="2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3054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22</xdr:row>
      <xdr:rowOff>0</xdr:rowOff>
    </xdr:from>
    <xdr:to>
      <xdr:col>11</xdr:col>
      <xdr:colOff>323850</xdr:colOff>
      <xdr:row>22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305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419100</xdr:colOff>
      <xdr:row>22</xdr:row>
      <xdr:rowOff>0</xdr:rowOff>
    </xdr:to>
    <xdr:pic>
      <xdr:nvPicPr>
        <xdr:cNvPr id="2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3054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22</xdr:row>
      <xdr:rowOff>0</xdr:rowOff>
    </xdr:from>
    <xdr:to>
      <xdr:col>11</xdr:col>
      <xdr:colOff>323850</xdr:colOff>
      <xdr:row>22</xdr:row>
      <xdr:rowOff>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305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0</xdr:row>
      <xdr:rowOff>0</xdr:rowOff>
    </xdr:from>
    <xdr:to>
      <xdr:col>2</xdr:col>
      <xdr:colOff>1581150</xdr:colOff>
      <xdr:row>1</xdr:row>
      <xdr:rowOff>9525</xdr:rowOff>
    </xdr:to>
    <xdr:pic>
      <xdr:nvPicPr>
        <xdr:cNvPr id="26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0"/>
          <a:ext cx="1219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0</xdr:row>
      <xdr:rowOff>0</xdr:rowOff>
    </xdr:from>
    <xdr:to>
      <xdr:col>2</xdr:col>
      <xdr:colOff>1581150</xdr:colOff>
      <xdr:row>1</xdr:row>
      <xdr:rowOff>9525</xdr:rowOff>
    </xdr:to>
    <xdr:pic>
      <xdr:nvPicPr>
        <xdr:cNvPr id="27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0"/>
          <a:ext cx="1219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962025</xdr:colOff>
      <xdr:row>1</xdr:row>
      <xdr:rowOff>66675</xdr:rowOff>
    </xdr:from>
    <xdr:to>
      <xdr:col>7</xdr:col>
      <xdr:colOff>247650</xdr:colOff>
      <xdr:row>1</xdr:row>
      <xdr:rowOff>971550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228600"/>
          <a:ext cx="1028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133350</xdr:rowOff>
    </xdr:from>
    <xdr:to>
      <xdr:col>11</xdr:col>
      <xdr:colOff>0</xdr:colOff>
      <xdr:row>22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39115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11</xdr:col>
      <xdr:colOff>0</xdr:colOff>
      <xdr:row>21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11</xdr:col>
      <xdr:colOff>0</xdr:colOff>
      <xdr:row>21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11</xdr:col>
      <xdr:colOff>0</xdr:colOff>
      <xdr:row>21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11</xdr:col>
      <xdr:colOff>0</xdr:colOff>
      <xdr:row>21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1</xdr:row>
      <xdr:rowOff>0</xdr:rowOff>
    </xdr:from>
    <xdr:to>
      <xdr:col>2</xdr:col>
      <xdr:colOff>1562100</xdr:colOff>
      <xdr:row>2</xdr:row>
      <xdr:rowOff>9525</xdr:rowOff>
    </xdr:to>
    <xdr:pic>
      <xdr:nvPicPr>
        <xdr:cNvPr id="7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61925"/>
          <a:ext cx="1200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1</xdr:row>
      <xdr:rowOff>0</xdr:rowOff>
    </xdr:from>
    <xdr:to>
      <xdr:col>2</xdr:col>
      <xdr:colOff>1562100</xdr:colOff>
      <xdr:row>2</xdr:row>
      <xdr:rowOff>9525</xdr:rowOff>
    </xdr:to>
    <xdr:pic>
      <xdr:nvPicPr>
        <xdr:cNvPr id="8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61925"/>
          <a:ext cx="1200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20</xdr:row>
      <xdr:rowOff>0</xdr:rowOff>
    </xdr:from>
    <xdr:to>
      <xdr:col>12</xdr:col>
      <xdr:colOff>47625</xdr:colOff>
      <xdr:row>20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4867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133350</xdr:rowOff>
    </xdr:from>
    <xdr:to>
      <xdr:col>12</xdr:col>
      <xdr:colOff>0</xdr:colOff>
      <xdr:row>26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200775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47625</xdr:colOff>
      <xdr:row>20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4867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12</xdr:col>
      <xdr:colOff>0</xdr:colOff>
      <xdr:row>25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5867400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47625</xdr:colOff>
      <xdr:row>20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4867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12</xdr:col>
      <xdr:colOff>0</xdr:colOff>
      <xdr:row>25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5867400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47625</xdr:colOff>
      <xdr:row>20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4867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12</xdr:col>
      <xdr:colOff>0</xdr:colOff>
      <xdr:row>25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5867400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47625</xdr:colOff>
      <xdr:row>20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4867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12</xdr:col>
      <xdr:colOff>0</xdr:colOff>
      <xdr:row>25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5867400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1066800</xdr:colOff>
      <xdr:row>1</xdr:row>
      <xdr:rowOff>47625</xdr:rowOff>
    </xdr:from>
    <xdr:to>
      <xdr:col>7</xdr:col>
      <xdr:colOff>85725</xdr:colOff>
      <xdr:row>1</xdr:row>
      <xdr:rowOff>895350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209550"/>
          <a:ext cx="885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1</xdr:row>
      <xdr:rowOff>0</xdr:rowOff>
    </xdr:from>
    <xdr:to>
      <xdr:col>2</xdr:col>
      <xdr:colOff>1581150</xdr:colOff>
      <xdr:row>2</xdr:row>
      <xdr:rowOff>9525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61925"/>
          <a:ext cx="1219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1</xdr:row>
      <xdr:rowOff>0</xdr:rowOff>
    </xdr:from>
    <xdr:to>
      <xdr:col>2</xdr:col>
      <xdr:colOff>1581150</xdr:colOff>
      <xdr:row>2</xdr:row>
      <xdr:rowOff>9525</xdr:rowOff>
    </xdr:to>
    <xdr:pic>
      <xdr:nvPicPr>
        <xdr:cNvPr id="13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61925"/>
          <a:ext cx="1219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990600</xdr:colOff>
      <xdr:row>1</xdr:row>
      <xdr:rowOff>28575</xdr:rowOff>
    </xdr:from>
    <xdr:to>
      <xdr:col>6</xdr:col>
      <xdr:colOff>495300</xdr:colOff>
      <xdr:row>1</xdr:row>
      <xdr:rowOff>942975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90500"/>
          <a:ext cx="933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1</xdr:row>
      <xdr:rowOff>0</xdr:rowOff>
    </xdr:from>
    <xdr:to>
      <xdr:col>2</xdr:col>
      <xdr:colOff>1581150</xdr:colOff>
      <xdr:row>2</xdr:row>
      <xdr:rowOff>9525</xdr:rowOff>
    </xdr:to>
    <xdr:pic>
      <xdr:nvPicPr>
        <xdr:cNvPr id="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161925"/>
          <a:ext cx="12192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1</xdr:row>
      <xdr:rowOff>0</xdr:rowOff>
    </xdr:from>
    <xdr:to>
      <xdr:col>2</xdr:col>
      <xdr:colOff>1581150</xdr:colOff>
      <xdr:row>2</xdr:row>
      <xdr:rowOff>9525</xdr:rowOff>
    </xdr:to>
    <xdr:pic>
      <xdr:nvPicPr>
        <xdr:cNvPr id="3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161925"/>
          <a:ext cx="12192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419100</xdr:colOff>
      <xdr:row>0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419100</xdr:colOff>
      <xdr:row>0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0</xdr:row>
      <xdr:rowOff>228600</xdr:rowOff>
    </xdr:from>
    <xdr:to>
      <xdr:col>8</xdr:col>
      <xdr:colOff>276225</xdr:colOff>
      <xdr:row>1</xdr:row>
      <xdr:rowOff>171450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28600"/>
          <a:ext cx="1038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0</xdr:row>
      <xdr:rowOff>0</xdr:rowOff>
    </xdr:from>
    <xdr:to>
      <xdr:col>2</xdr:col>
      <xdr:colOff>1562100</xdr:colOff>
      <xdr:row>1</xdr:row>
      <xdr:rowOff>9525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0"/>
          <a:ext cx="12001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0</xdr:row>
      <xdr:rowOff>0</xdr:rowOff>
    </xdr:from>
    <xdr:to>
      <xdr:col>2</xdr:col>
      <xdr:colOff>1562100</xdr:colOff>
      <xdr:row>1</xdr:row>
      <xdr:rowOff>9525</xdr:rowOff>
    </xdr:to>
    <xdr:pic>
      <xdr:nvPicPr>
        <xdr:cNvPr id="13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0"/>
          <a:ext cx="12001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19</xdr:row>
      <xdr:rowOff>0</xdr:rowOff>
    </xdr:from>
    <xdr:to>
      <xdr:col>12</xdr:col>
      <xdr:colOff>419100</xdr:colOff>
      <xdr:row>19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768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19</xdr:row>
      <xdr:rowOff>0</xdr:rowOff>
    </xdr:from>
    <xdr:to>
      <xdr:col>12</xdr:col>
      <xdr:colOff>323850</xdr:colOff>
      <xdr:row>19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487680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419100</xdr:colOff>
      <xdr:row>19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768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19</xdr:row>
      <xdr:rowOff>0</xdr:rowOff>
    </xdr:from>
    <xdr:to>
      <xdr:col>12</xdr:col>
      <xdr:colOff>323850</xdr:colOff>
      <xdr:row>19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487680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419100</xdr:colOff>
      <xdr:row>19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768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19</xdr:row>
      <xdr:rowOff>0</xdr:rowOff>
    </xdr:from>
    <xdr:to>
      <xdr:col>12</xdr:col>
      <xdr:colOff>323850</xdr:colOff>
      <xdr:row>19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487680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419100</xdr:colOff>
      <xdr:row>19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768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19</xdr:row>
      <xdr:rowOff>0</xdr:rowOff>
    </xdr:from>
    <xdr:to>
      <xdr:col>12</xdr:col>
      <xdr:colOff>323850</xdr:colOff>
      <xdr:row>19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487680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419100</xdr:colOff>
      <xdr:row>19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768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19</xdr:row>
      <xdr:rowOff>0</xdr:rowOff>
    </xdr:from>
    <xdr:to>
      <xdr:col>12</xdr:col>
      <xdr:colOff>323850</xdr:colOff>
      <xdr:row>19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487680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161925</xdr:colOff>
      <xdr:row>0</xdr:row>
      <xdr:rowOff>228600</xdr:rowOff>
    </xdr:from>
    <xdr:to>
      <xdr:col>9</xdr:col>
      <xdr:colOff>266700</xdr:colOff>
      <xdr:row>1</xdr:row>
      <xdr:rowOff>19050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228600"/>
          <a:ext cx="857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0</xdr:row>
      <xdr:rowOff>0</xdr:rowOff>
    </xdr:from>
    <xdr:to>
      <xdr:col>2</xdr:col>
      <xdr:colOff>1581150</xdr:colOff>
      <xdr:row>1</xdr:row>
      <xdr:rowOff>9525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0"/>
          <a:ext cx="1219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0</xdr:row>
      <xdr:rowOff>0</xdr:rowOff>
    </xdr:from>
    <xdr:to>
      <xdr:col>2</xdr:col>
      <xdr:colOff>1581150</xdr:colOff>
      <xdr:row>1</xdr:row>
      <xdr:rowOff>9525</xdr:rowOff>
    </xdr:to>
    <xdr:pic>
      <xdr:nvPicPr>
        <xdr:cNvPr id="13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0"/>
          <a:ext cx="1219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0</xdr:row>
      <xdr:rowOff>9525</xdr:rowOff>
    </xdr:from>
    <xdr:to>
      <xdr:col>8</xdr:col>
      <xdr:colOff>342900</xdr:colOff>
      <xdr:row>0</xdr:row>
      <xdr:rowOff>1076325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9525"/>
          <a:ext cx="1181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0</xdr:row>
      <xdr:rowOff>0</xdr:rowOff>
    </xdr:from>
    <xdr:to>
      <xdr:col>2</xdr:col>
      <xdr:colOff>1581150</xdr:colOff>
      <xdr:row>1</xdr:row>
      <xdr:rowOff>9525</xdr:rowOff>
    </xdr:to>
    <xdr:pic>
      <xdr:nvPicPr>
        <xdr:cNvPr id="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0"/>
          <a:ext cx="1219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0</xdr:row>
      <xdr:rowOff>0</xdr:rowOff>
    </xdr:from>
    <xdr:to>
      <xdr:col>2</xdr:col>
      <xdr:colOff>1581150</xdr:colOff>
      <xdr:row>1</xdr:row>
      <xdr:rowOff>9525</xdr:rowOff>
    </xdr:to>
    <xdr:pic>
      <xdr:nvPicPr>
        <xdr:cNvPr id="3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0"/>
          <a:ext cx="1219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IV25"/>
  <sheetViews>
    <sheetView tabSelected="1" view="pageLayout" zoomScale="91" zoomScalePageLayoutView="91" workbookViewId="0" topLeftCell="A1">
      <selection activeCell="B14" sqref="B14:E14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5.28125" style="1" customWidth="1"/>
    <col min="4" max="4" width="5.8515625" style="1" customWidth="1"/>
    <col min="5" max="5" width="27.28125" style="1" customWidth="1"/>
    <col min="6" max="6" width="16.57421875" style="1" customWidth="1"/>
    <col min="7" max="7" width="12.2812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93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69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6.5" customHeight="1">
      <c r="A2" s="71" t="s">
        <v>126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29"/>
      <c r="M2" s="70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71" t="s">
        <v>27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30"/>
      <c r="M3" s="70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" customHeight="1">
      <c r="A4" s="72" t="s">
        <v>127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0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73" t="s">
        <v>71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1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60" t="s">
        <v>22</v>
      </c>
      <c r="B7" s="60" t="s">
        <v>0</v>
      </c>
      <c r="C7" s="60" t="s">
        <v>1</v>
      </c>
      <c r="D7" s="60" t="s">
        <v>28</v>
      </c>
      <c r="E7" s="60" t="s">
        <v>25</v>
      </c>
      <c r="F7" s="60" t="s">
        <v>26</v>
      </c>
      <c r="G7" s="60" t="s">
        <v>2</v>
      </c>
      <c r="H7" s="60" t="s">
        <v>3</v>
      </c>
      <c r="I7" s="62"/>
      <c r="J7" s="60" t="s">
        <v>4</v>
      </c>
      <c r="K7" s="62"/>
      <c r="L7" s="63" t="s">
        <v>29</v>
      </c>
      <c r="M7" s="64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61"/>
      <c r="B8" s="60"/>
      <c r="C8" s="60"/>
      <c r="D8" s="61"/>
      <c r="E8" s="61"/>
      <c r="F8" s="60"/>
      <c r="G8" s="61"/>
      <c r="H8" s="60" t="s">
        <v>11</v>
      </c>
      <c r="I8" s="67" t="s">
        <v>24</v>
      </c>
      <c r="J8" s="60" t="s">
        <v>11</v>
      </c>
      <c r="K8" s="67" t="s">
        <v>24</v>
      </c>
      <c r="L8" s="63"/>
      <c r="M8" s="65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61"/>
      <c r="B9" s="60"/>
      <c r="C9" s="60"/>
      <c r="D9" s="61"/>
      <c r="E9" s="61"/>
      <c r="F9" s="60"/>
      <c r="G9" s="61"/>
      <c r="H9" s="61"/>
      <c r="I9" s="68"/>
      <c r="J9" s="61"/>
      <c r="K9" s="68"/>
      <c r="L9" s="63"/>
      <c r="M9" s="66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51">
        <v>1</v>
      </c>
      <c r="B10" s="41">
        <v>369</v>
      </c>
      <c r="C10" s="46" t="s">
        <v>131</v>
      </c>
      <c r="D10" s="41" t="s">
        <v>31</v>
      </c>
      <c r="E10" s="46" t="s">
        <v>132</v>
      </c>
      <c r="F10" s="50" t="s">
        <v>30</v>
      </c>
      <c r="G10" s="48" t="s">
        <v>97</v>
      </c>
      <c r="H10" s="41">
        <v>2</v>
      </c>
      <c r="I10" s="27">
        <v>22</v>
      </c>
      <c r="J10" s="41">
        <v>1</v>
      </c>
      <c r="K10" s="27">
        <v>25</v>
      </c>
      <c r="L10" s="42">
        <v>47</v>
      </c>
      <c r="M10" s="20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3" customFormat="1" ht="15.75" customHeight="1">
      <c r="A11" s="51">
        <v>2</v>
      </c>
      <c r="B11" s="41">
        <v>3</v>
      </c>
      <c r="C11" s="46" t="s">
        <v>99</v>
      </c>
      <c r="D11" s="41" t="s">
        <v>31</v>
      </c>
      <c r="E11" s="46" t="s">
        <v>100</v>
      </c>
      <c r="F11" s="50" t="s">
        <v>30</v>
      </c>
      <c r="G11" s="48" t="s">
        <v>97</v>
      </c>
      <c r="H11" s="41">
        <v>1</v>
      </c>
      <c r="I11" s="27">
        <v>25</v>
      </c>
      <c r="J11" s="41">
        <v>2</v>
      </c>
      <c r="K11" s="27">
        <v>22</v>
      </c>
      <c r="L11" s="42">
        <v>47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51">
        <v>3</v>
      </c>
      <c r="B12" s="41">
        <v>33</v>
      </c>
      <c r="C12" s="46" t="s">
        <v>130</v>
      </c>
      <c r="D12" s="41" t="s">
        <v>31</v>
      </c>
      <c r="E12" s="46" t="s">
        <v>35</v>
      </c>
      <c r="F12" s="50" t="s">
        <v>30</v>
      </c>
      <c r="G12" s="48" t="s">
        <v>97</v>
      </c>
      <c r="H12" s="41">
        <v>5</v>
      </c>
      <c r="I12" s="27">
        <v>16</v>
      </c>
      <c r="J12" s="41">
        <v>3</v>
      </c>
      <c r="K12" s="27">
        <v>20</v>
      </c>
      <c r="L12" s="42">
        <v>36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51">
        <v>4</v>
      </c>
      <c r="B13" s="41">
        <v>47</v>
      </c>
      <c r="C13" s="46" t="s">
        <v>129</v>
      </c>
      <c r="D13" s="41" t="s">
        <v>31</v>
      </c>
      <c r="E13" s="46" t="s">
        <v>35</v>
      </c>
      <c r="F13" s="50" t="s">
        <v>30</v>
      </c>
      <c r="G13" s="48" t="s">
        <v>97</v>
      </c>
      <c r="H13" s="41">
        <v>4</v>
      </c>
      <c r="I13" s="27">
        <v>18</v>
      </c>
      <c r="J13" s="41">
        <v>4</v>
      </c>
      <c r="K13" s="27">
        <v>18</v>
      </c>
      <c r="L13" s="42">
        <v>36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5.75" customHeight="1">
      <c r="A14" s="51">
        <v>5</v>
      </c>
      <c r="B14" s="41">
        <v>22</v>
      </c>
      <c r="C14" s="46" t="s">
        <v>128</v>
      </c>
      <c r="D14" s="41" t="s">
        <v>31</v>
      </c>
      <c r="E14" s="46" t="s">
        <v>100</v>
      </c>
      <c r="F14" s="50" t="s">
        <v>30</v>
      </c>
      <c r="G14" s="48" t="s">
        <v>97</v>
      </c>
      <c r="H14" s="41">
        <v>3</v>
      </c>
      <c r="I14" s="27">
        <v>20</v>
      </c>
      <c r="J14" s="41" t="s">
        <v>58</v>
      </c>
      <c r="K14" s="27">
        <v>0</v>
      </c>
      <c r="L14" s="42">
        <v>20</v>
      </c>
      <c r="M14" s="20" t="e">
        <f>#REF!+#REF!</f>
        <v>#REF!</v>
      </c>
      <c r="N14" s="21"/>
      <c r="O14" s="22"/>
      <c r="P14" s="21">
        <f>IF(H14=1,25,0)</f>
        <v>0</v>
      </c>
      <c r="Q14" s="21">
        <f>IF(H14=2,22,0)</f>
        <v>0</v>
      </c>
      <c r="R14" s="21">
        <f>IF(H14=3,20,0)</f>
        <v>20</v>
      </c>
      <c r="S14" s="21">
        <f>IF(H14=4,18,0)</f>
        <v>0</v>
      </c>
      <c r="T14" s="21">
        <f>IF(H14=5,16,0)</f>
        <v>0</v>
      </c>
      <c r="U14" s="21">
        <f>IF(H14=6,15,0)</f>
        <v>0</v>
      </c>
      <c r="V14" s="21">
        <f>IF(H14=7,14,0)</f>
        <v>0</v>
      </c>
      <c r="W14" s="21">
        <f>IF(H14=8,13,0)</f>
        <v>0</v>
      </c>
      <c r="X14" s="21">
        <f>IF(H14=9,12,0)</f>
        <v>0</v>
      </c>
      <c r="Y14" s="21">
        <f>IF(H14=10,11,0)</f>
        <v>0</v>
      </c>
      <c r="Z14" s="21">
        <f>IF(H14=11,10,0)</f>
        <v>0</v>
      </c>
      <c r="AA14" s="21">
        <f>IF(H14=12,9,0)</f>
        <v>0</v>
      </c>
      <c r="AB14" s="21">
        <f>IF(H14=13,8,0)</f>
        <v>0</v>
      </c>
      <c r="AC14" s="21">
        <f>IF(H14=14,7,0)</f>
        <v>0</v>
      </c>
      <c r="AD14" s="21">
        <f>IF(H14=15,6,0)</f>
        <v>0</v>
      </c>
      <c r="AE14" s="21">
        <f>IF(H14=16,5,0)</f>
        <v>0</v>
      </c>
      <c r="AF14" s="21">
        <f>IF(H14=17,4,0)</f>
        <v>0</v>
      </c>
      <c r="AG14" s="21">
        <f>IF(H14=18,3,0)</f>
        <v>0</v>
      </c>
      <c r="AH14" s="21">
        <f>IF(H14=19,2,0)</f>
        <v>0</v>
      </c>
      <c r="AI14" s="21">
        <f>IF(H14=20,1,0)</f>
        <v>0</v>
      </c>
      <c r="AJ14" s="21">
        <f>IF(H14&gt;20,0,0)</f>
        <v>0</v>
      </c>
      <c r="AK14" s="21">
        <f>IF(H14="сх",0,0)</f>
        <v>0</v>
      </c>
      <c r="AL14" s="21">
        <f>SUM(P14:AJ14)</f>
        <v>20</v>
      </c>
      <c r="AM14" s="21">
        <f>IF(J14=1,25,0)</f>
        <v>0</v>
      </c>
      <c r="AN14" s="21">
        <f>IF(J14=2,22,0)</f>
        <v>0</v>
      </c>
      <c r="AO14" s="21">
        <f>IF(J14=3,20,0)</f>
        <v>0</v>
      </c>
      <c r="AP14" s="21">
        <f>IF(J14=4,18,0)</f>
        <v>0</v>
      </c>
      <c r="AQ14" s="21">
        <f>IF(J14=5,16,0)</f>
        <v>0</v>
      </c>
      <c r="AR14" s="21">
        <f>IF(J14=6,15,0)</f>
        <v>0</v>
      </c>
      <c r="AS14" s="21">
        <f>IF(J14=7,14,0)</f>
        <v>0</v>
      </c>
      <c r="AT14" s="21">
        <f>IF(J14=8,13,0)</f>
        <v>0</v>
      </c>
      <c r="AU14" s="21">
        <f>IF(J14=9,12,0)</f>
        <v>0</v>
      </c>
      <c r="AV14" s="21">
        <f>IF(J14=10,11,0)</f>
        <v>0</v>
      </c>
      <c r="AW14" s="21">
        <f>IF(J14=11,10,0)</f>
        <v>0</v>
      </c>
      <c r="AX14" s="21">
        <f>IF(J14=12,9,0)</f>
        <v>0</v>
      </c>
      <c r="AY14" s="21">
        <f>IF(J14=13,8,0)</f>
        <v>0</v>
      </c>
      <c r="AZ14" s="21">
        <f>IF(J14=14,7,0)</f>
        <v>0</v>
      </c>
      <c r="BA14" s="21">
        <f>IF(J14=15,6,0)</f>
        <v>0</v>
      </c>
      <c r="BB14" s="21">
        <f>IF(J14=16,5,0)</f>
        <v>0</v>
      </c>
      <c r="BC14" s="21">
        <f>IF(J14=17,4,0)</f>
        <v>0</v>
      </c>
      <c r="BD14" s="21">
        <f>IF(J14=18,3,0)</f>
        <v>0</v>
      </c>
      <c r="BE14" s="21">
        <f>IF(J14=19,2,0)</f>
        <v>0</v>
      </c>
      <c r="BF14" s="21">
        <f>IF(J14=20,1,0)</f>
        <v>0</v>
      </c>
      <c r="BG14" s="21">
        <f>IF(J14&gt;20,0,0)</f>
        <v>0</v>
      </c>
      <c r="BH14" s="21">
        <f>IF(J14="сх",0,0)</f>
        <v>0</v>
      </c>
      <c r="BI14" s="21">
        <f>SUM(AM14:BG14)</f>
        <v>0</v>
      </c>
      <c r="BJ14" s="21">
        <f>IF(H14=1,45,0)</f>
        <v>0</v>
      </c>
      <c r="BK14" s="21">
        <f>IF(H14=2,42,0)</f>
        <v>0</v>
      </c>
      <c r="BL14" s="21">
        <f>IF(H14=3,40,0)</f>
        <v>40</v>
      </c>
      <c r="BM14" s="21">
        <f>IF(H14=4,38,0)</f>
        <v>0</v>
      </c>
      <c r="BN14" s="21">
        <f>IF(H14=5,36,0)</f>
        <v>0</v>
      </c>
      <c r="BO14" s="21">
        <f>IF(H14=6,35,0)</f>
        <v>0</v>
      </c>
      <c r="BP14" s="21">
        <f>IF(H14=7,34,0)</f>
        <v>0</v>
      </c>
      <c r="BQ14" s="21">
        <f>IF(H14=8,33,0)</f>
        <v>0</v>
      </c>
      <c r="BR14" s="21">
        <f>IF(H14=9,32,0)</f>
        <v>0</v>
      </c>
      <c r="BS14" s="21">
        <f>IF(H14=10,31,0)</f>
        <v>0</v>
      </c>
      <c r="BT14" s="21">
        <f>IF(H14=11,30,0)</f>
        <v>0</v>
      </c>
      <c r="BU14" s="21">
        <f>IF(H14=12,29,0)</f>
        <v>0</v>
      </c>
      <c r="BV14" s="21">
        <f>IF(H14=13,28,0)</f>
        <v>0</v>
      </c>
      <c r="BW14" s="21">
        <f>IF(H14=14,27,0)</f>
        <v>0</v>
      </c>
      <c r="BX14" s="21">
        <f>IF(H14=15,26,0)</f>
        <v>0</v>
      </c>
      <c r="BY14" s="21">
        <f>IF(H14=16,25,0)</f>
        <v>0</v>
      </c>
      <c r="BZ14" s="21">
        <f>IF(H14=17,24,0)</f>
        <v>0</v>
      </c>
      <c r="CA14" s="21">
        <f>IF(H14=18,23,0)</f>
        <v>0</v>
      </c>
      <c r="CB14" s="21">
        <f>IF(H14=19,22,0)</f>
        <v>0</v>
      </c>
      <c r="CC14" s="21">
        <f>IF(H14=20,21,0)</f>
        <v>0</v>
      </c>
      <c r="CD14" s="21">
        <f>IF(H14=21,20,0)</f>
        <v>0</v>
      </c>
      <c r="CE14" s="21">
        <f>IF(H14=22,19,0)</f>
        <v>0</v>
      </c>
      <c r="CF14" s="21">
        <f>IF(H14=23,18,0)</f>
        <v>0</v>
      </c>
      <c r="CG14" s="21">
        <f>IF(H14=24,17,0)</f>
        <v>0</v>
      </c>
      <c r="CH14" s="21">
        <f>IF(H14=25,16,0)</f>
        <v>0</v>
      </c>
      <c r="CI14" s="21">
        <f>IF(H14=26,15,0)</f>
        <v>0</v>
      </c>
      <c r="CJ14" s="21">
        <f>IF(H14=27,14,0)</f>
        <v>0</v>
      </c>
      <c r="CK14" s="21">
        <f>IF(H14=28,13,0)</f>
        <v>0</v>
      </c>
      <c r="CL14" s="21">
        <f>IF(H14=29,12,0)</f>
        <v>0</v>
      </c>
      <c r="CM14" s="21">
        <f>IF(H14=30,11,0)</f>
        <v>0</v>
      </c>
      <c r="CN14" s="21">
        <f>IF(H14=31,10,0)</f>
        <v>0</v>
      </c>
      <c r="CO14" s="21">
        <f>IF(H14=32,9,0)</f>
        <v>0</v>
      </c>
      <c r="CP14" s="21">
        <f>IF(H14=33,8,0)</f>
        <v>0</v>
      </c>
      <c r="CQ14" s="21">
        <f>IF(H14=34,7,0)</f>
        <v>0</v>
      </c>
      <c r="CR14" s="21">
        <f>IF(H14=35,6,0)</f>
        <v>0</v>
      </c>
      <c r="CS14" s="21">
        <f>IF(H14=36,5,0)</f>
        <v>0</v>
      </c>
      <c r="CT14" s="21">
        <f>IF(H14=37,4,0)</f>
        <v>0</v>
      </c>
      <c r="CU14" s="21">
        <f>IF(H14=38,3,0)</f>
        <v>0</v>
      </c>
      <c r="CV14" s="21">
        <f>IF(H14=39,2,0)</f>
        <v>0</v>
      </c>
      <c r="CW14" s="21">
        <f>IF(H14=40,1,0)</f>
        <v>0</v>
      </c>
      <c r="CX14" s="21">
        <f>IF(H14&gt;20,0,0)</f>
        <v>0</v>
      </c>
      <c r="CY14" s="21">
        <f>IF(H14="сх",0,0)</f>
        <v>0</v>
      </c>
      <c r="CZ14" s="21">
        <f>SUM(BJ14:CY14)</f>
        <v>40</v>
      </c>
      <c r="DA14" s="21">
        <f>IF(J14=1,45,0)</f>
        <v>0</v>
      </c>
      <c r="DB14" s="21">
        <f>IF(J14=2,42,0)</f>
        <v>0</v>
      </c>
      <c r="DC14" s="21">
        <f>IF(J14=3,40,0)</f>
        <v>0</v>
      </c>
      <c r="DD14" s="21">
        <f>IF(J14=4,38,0)</f>
        <v>0</v>
      </c>
      <c r="DE14" s="21">
        <f>IF(J14=5,36,0)</f>
        <v>0</v>
      </c>
      <c r="DF14" s="21">
        <f>IF(J14=6,35,0)</f>
        <v>0</v>
      </c>
      <c r="DG14" s="21">
        <f>IF(J14=7,34,0)</f>
        <v>0</v>
      </c>
      <c r="DH14" s="21">
        <f>IF(J14=8,33,0)</f>
        <v>0</v>
      </c>
      <c r="DI14" s="21">
        <f>IF(J14=9,32,0)</f>
        <v>0</v>
      </c>
      <c r="DJ14" s="21">
        <f>IF(J14=10,31,0)</f>
        <v>0</v>
      </c>
      <c r="DK14" s="21">
        <f>IF(J14=11,30,0)</f>
        <v>0</v>
      </c>
      <c r="DL14" s="21">
        <f>IF(J14=12,29,0)</f>
        <v>0</v>
      </c>
      <c r="DM14" s="21">
        <f>IF(J14=13,28,0)</f>
        <v>0</v>
      </c>
      <c r="DN14" s="21">
        <f>IF(J14=14,27,0)</f>
        <v>0</v>
      </c>
      <c r="DO14" s="21">
        <f>IF(J14=15,26,0)</f>
        <v>0</v>
      </c>
      <c r="DP14" s="21">
        <f>IF(J14=16,25,0)</f>
        <v>0</v>
      </c>
      <c r="DQ14" s="21">
        <f>IF(J14=17,24,0)</f>
        <v>0</v>
      </c>
      <c r="DR14" s="21">
        <f>IF(J14=18,23,0)</f>
        <v>0</v>
      </c>
      <c r="DS14" s="21">
        <f>IF(J14=19,22,0)</f>
        <v>0</v>
      </c>
      <c r="DT14" s="21">
        <f>IF(J14=20,21,0)</f>
        <v>0</v>
      </c>
      <c r="DU14" s="21">
        <f>IF(J14=21,20,0)</f>
        <v>0</v>
      </c>
      <c r="DV14" s="21">
        <f>IF(J14=22,19,0)</f>
        <v>0</v>
      </c>
      <c r="DW14" s="21">
        <f>IF(J14=23,18,0)</f>
        <v>0</v>
      </c>
      <c r="DX14" s="21">
        <f>IF(J14=24,17,0)</f>
        <v>0</v>
      </c>
      <c r="DY14" s="21">
        <f>IF(J14=25,16,0)</f>
        <v>0</v>
      </c>
      <c r="DZ14" s="21">
        <f>IF(J14=26,15,0)</f>
        <v>0</v>
      </c>
      <c r="EA14" s="21">
        <f>IF(J14=27,14,0)</f>
        <v>0</v>
      </c>
      <c r="EB14" s="21">
        <f>IF(J14=28,13,0)</f>
        <v>0</v>
      </c>
      <c r="EC14" s="21">
        <f>IF(J14=29,12,0)</f>
        <v>0</v>
      </c>
      <c r="ED14" s="21">
        <f>IF(J14=30,11,0)</f>
        <v>0</v>
      </c>
      <c r="EE14" s="21">
        <f>IF(J14=31,10,0)</f>
        <v>0</v>
      </c>
      <c r="EF14" s="21">
        <f>IF(J14=32,9,0)</f>
        <v>0</v>
      </c>
      <c r="EG14" s="21">
        <f>IF(J14=33,8,0)</f>
        <v>0</v>
      </c>
      <c r="EH14" s="21">
        <f>IF(J14=34,7,0)</f>
        <v>0</v>
      </c>
      <c r="EI14" s="21">
        <f>IF(J14=35,6,0)</f>
        <v>0</v>
      </c>
      <c r="EJ14" s="21">
        <f>IF(J14=36,5,0)</f>
        <v>0</v>
      </c>
      <c r="EK14" s="21">
        <f>IF(J14=37,4,0)</f>
        <v>0</v>
      </c>
      <c r="EL14" s="21">
        <f>IF(J14=38,3,0)</f>
        <v>0</v>
      </c>
      <c r="EM14" s="21">
        <f>IF(J14=39,2,0)</f>
        <v>0</v>
      </c>
      <c r="EN14" s="21">
        <f>IF(J14=40,1,0)</f>
        <v>0</v>
      </c>
      <c r="EO14" s="21">
        <f>IF(J14&gt;20,0,0)</f>
        <v>0</v>
      </c>
      <c r="EP14" s="21">
        <f>IF(J14="сх",0,0)</f>
        <v>0</v>
      </c>
      <c r="EQ14" s="21">
        <f>SUM(DA14:EP14)</f>
        <v>0</v>
      </c>
      <c r="ER14" s="21"/>
      <c r="ES14" s="21">
        <f>IF(H14="сх","ноль",IF(H14&gt;0,H14,"Ноль"))</f>
        <v>3</v>
      </c>
      <c r="ET14" s="21" t="str">
        <f>IF(J14="сх","ноль",IF(J14&gt;0,J14,"Ноль"))</f>
        <v>н/ф</v>
      </c>
      <c r="EU14" s="21"/>
      <c r="EV14" s="21">
        <f>MIN(ES14,ET14)</f>
        <v>3</v>
      </c>
      <c r="EW14" s="21" t="e">
        <f>IF(L14=#REF!,IF(J14&lt;#REF!,#REF!,FA14),#REF!)</f>
        <v>#REF!</v>
      </c>
      <c r="EX14" s="21" t="e">
        <f>IF(L14=#REF!,IF(J14&lt;#REF!,0,1))</f>
        <v>#REF!</v>
      </c>
      <c r="EY14" s="21" t="e">
        <f>IF(AND(EV14&gt;=21,EV14&lt;&gt;0),EV14,IF(L14&lt;#REF!,"СТОП",EW14+EX14))</f>
        <v>#REF!</v>
      </c>
      <c r="EZ14" s="21"/>
      <c r="FA14" s="21">
        <v>25</v>
      </c>
      <c r="FB14" s="21">
        <v>26</v>
      </c>
      <c r="FC14" s="21"/>
      <c r="FD14" s="23">
        <f>IF(H14=1,25,0)</f>
        <v>0</v>
      </c>
      <c r="FE14" s="23">
        <f>IF(H14=2,22,0)</f>
        <v>0</v>
      </c>
      <c r="FF14" s="23">
        <f>IF(H14=3,20,0)</f>
        <v>20</v>
      </c>
      <c r="FG14" s="23">
        <f>IF(H14=4,18,0)</f>
        <v>0</v>
      </c>
      <c r="FH14" s="23">
        <f>IF(H14=5,16,0)</f>
        <v>0</v>
      </c>
      <c r="FI14" s="23">
        <f>IF(H14=6,15,0)</f>
        <v>0</v>
      </c>
      <c r="FJ14" s="23">
        <f>IF(H14=7,14,0)</f>
        <v>0</v>
      </c>
      <c r="FK14" s="23">
        <f>IF(H14=8,13,0)</f>
        <v>0</v>
      </c>
      <c r="FL14" s="23">
        <f>IF(H14=9,12,0)</f>
        <v>0</v>
      </c>
      <c r="FM14" s="23">
        <f>IF(H14=10,11,0)</f>
        <v>0</v>
      </c>
      <c r="FN14" s="23">
        <f>IF(H14=11,10,0)</f>
        <v>0</v>
      </c>
      <c r="FO14" s="23">
        <f>IF(H14=12,9,0)</f>
        <v>0</v>
      </c>
      <c r="FP14" s="23">
        <f>IF(H14=13,8,0)</f>
        <v>0</v>
      </c>
      <c r="FQ14" s="23">
        <f>IF(H14=14,7,0)</f>
        <v>0</v>
      </c>
      <c r="FR14" s="23">
        <f>IF(H14=15,6,0)</f>
        <v>0</v>
      </c>
      <c r="FS14" s="23">
        <f>IF(H14=16,5,0)</f>
        <v>0</v>
      </c>
      <c r="FT14" s="23">
        <f>IF(H14=17,4,0)</f>
        <v>0</v>
      </c>
      <c r="FU14" s="23">
        <f>IF(H14=18,3,0)</f>
        <v>0</v>
      </c>
      <c r="FV14" s="23">
        <f>IF(H14=19,2,0)</f>
        <v>0</v>
      </c>
      <c r="FW14" s="23">
        <f>IF(H14=20,1,0)</f>
        <v>0</v>
      </c>
      <c r="FX14" s="23">
        <f>IF(H14&gt;20,0,0)</f>
        <v>0</v>
      </c>
      <c r="FY14" s="23">
        <f>IF(H14="сх",0,0)</f>
        <v>0</v>
      </c>
      <c r="FZ14" s="23">
        <f>SUM(FD14:FY14)</f>
        <v>20</v>
      </c>
      <c r="GA14" s="23">
        <f>IF(J14=1,25,0)</f>
        <v>0</v>
      </c>
      <c r="GB14" s="23">
        <f>IF(J14=2,22,0)</f>
        <v>0</v>
      </c>
      <c r="GC14" s="23">
        <f>IF(J14=3,20,0)</f>
        <v>0</v>
      </c>
      <c r="GD14" s="23">
        <f>IF(J14=4,18,0)</f>
        <v>0</v>
      </c>
      <c r="GE14" s="23">
        <f>IF(J14=5,16,0)</f>
        <v>0</v>
      </c>
      <c r="GF14" s="23">
        <f>IF(J14=6,15,0)</f>
        <v>0</v>
      </c>
      <c r="GG14" s="23">
        <f>IF(J14=7,14,0)</f>
        <v>0</v>
      </c>
      <c r="GH14" s="23">
        <f>IF(J14=8,13,0)</f>
        <v>0</v>
      </c>
      <c r="GI14" s="23">
        <f>IF(J14=9,12,0)</f>
        <v>0</v>
      </c>
      <c r="GJ14" s="23">
        <f>IF(J14=10,11,0)</f>
        <v>0</v>
      </c>
      <c r="GK14" s="23">
        <f>IF(J14=11,10,0)</f>
        <v>0</v>
      </c>
      <c r="GL14" s="23">
        <f>IF(J14=12,9,0)</f>
        <v>0</v>
      </c>
      <c r="GM14" s="23">
        <f>IF(J14=13,8,0)</f>
        <v>0</v>
      </c>
      <c r="GN14" s="23">
        <f>IF(J14=14,7,0)</f>
        <v>0</v>
      </c>
      <c r="GO14" s="23">
        <f>IF(J14=15,6,0)</f>
        <v>0</v>
      </c>
      <c r="GP14" s="23">
        <f>IF(J14=16,5,0)</f>
        <v>0</v>
      </c>
      <c r="GQ14" s="23">
        <f>IF(J14=17,4,0)</f>
        <v>0</v>
      </c>
      <c r="GR14" s="23">
        <f>IF(J14=18,3,0)</f>
        <v>0</v>
      </c>
      <c r="GS14" s="23">
        <f>IF(J14=19,2,0)</f>
        <v>0</v>
      </c>
      <c r="GT14" s="23">
        <f>IF(J14=20,1,0)</f>
        <v>0</v>
      </c>
      <c r="GU14" s="23">
        <f>IF(J14&gt;20,0,0)</f>
        <v>0</v>
      </c>
      <c r="GV14" s="23">
        <f>IF(J14="сх",0,0)</f>
        <v>0</v>
      </c>
      <c r="GW14" s="23">
        <f>SUM(GA14:GV14)</f>
        <v>0</v>
      </c>
      <c r="GX14" s="23">
        <f>IF(H14=1,100,0)</f>
        <v>0</v>
      </c>
      <c r="GY14" s="23">
        <f>IF(H14=2,98,0)</f>
        <v>0</v>
      </c>
      <c r="GZ14" s="23">
        <f>IF(H14=3,95,0)</f>
        <v>95</v>
      </c>
      <c r="HA14" s="23">
        <f>IF(H14=4,93,0)</f>
        <v>0</v>
      </c>
      <c r="HB14" s="23">
        <f>IF(H14=5,90,0)</f>
        <v>0</v>
      </c>
      <c r="HC14" s="23">
        <f>IF(H14=6,88,0)</f>
        <v>0</v>
      </c>
      <c r="HD14" s="23">
        <f>IF(H14=7,85,0)</f>
        <v>0</v>
      </c>
      <c r="HE14" s="23">
        <f>IF(H14=8,83,0)</f>
        <v>0</v>
      </c>
      <c r="HF14" s="23">
        <f>IF(H14=9,80,0)</f>
        <v>0</v>
      </c>
      <c r="HG14" s="23">
        <f>IF(H14=10,78,0)</f>
        <v>0</v>
      </c>
      <c r="HH14" s="23">
        <f>IF(H14=11,75,0)</f>
        <v>0</v>
      </c>
      <c r="HI14" s="23">
        <f>IF(H14=12,73,0)</f>
        <v>0</v>
      </c>
      <c r="HJ14" s="23">
        <f>IF(H14=13,70,0)</f>
        <v>0</v>
      </c>
      <c r="HK14" s="23">
        <f>IF(H14=14,68,0)</f>
        <v>0</v>
      </c>
      <c r="HL14" s="23">
        <f>IF(H14=15,65,0)</f>
        <v>0</v>
      </c>
      <c r="HM14" s="23">
        <f>IF(H14=16,63,0)</f>
        <v>0</v>
      </c>
      <c r="HN14" s="23">
        <f>IF(H14=17,60,0)</f>
        <v>0</v>
      </c>
      <c r="HO14" s="23">
        <f>IF(H14=18,58,0)</f>
        <v>0</v>
      </c>
      <c r="HP14" s="23">
        <f>IF(H14=19,55,0)</f>
        <v>0</v>
      </c>
      <c r="HQ14" s="23">
        <f>IF(H14=20,53,0)</f>
        <v>0</v>
      </c>
      <c r="HR14" s="23">
        <f>IF(H14&gt;20,0,0)</f>
        <v>0</v>
      </c>
      <c r="HS14" s="23">
        <f>IF(H14="сх",0,0)</f>
        <v>0</v>
      </c>
      <c r="HT14" s="23">
        <f>SUM(GX14:HS14)</f>
        <v>95</v>
      </c>
      <c r="HU14" s="23">
        <f>IF(J14=1,100,0)</f>
        <v>0</v>
      </c>
      <c r="HV14" s="23">
        <f>IF(J14=2,98,0)</f>
        <v>0</v>
      </c>
      <c r="HW14" s="23">
        <f>IF(J14=3,95,0)</f>
        <v>0</v>
      </c>
      <c r="HX14" s="23">
        <f>IF(J14=4,93,0)</f>
        <v>0</v>
      </c>
      <c r="HY14" s="23">
        <f>IF(J14=5,90,0)</f>
        <v>0</v>
      </c>
      <c r="HZ14" s="23">
        <f>IF(J14=6,88,0)</f>
        <v>0</v>
      </c>
      <c r="IA14" s="23">
        <f>IF(J14=7,85,0)</f>
        <v>0</v>
      </c>
      <c r="IB14" s="23">
        <f>IF(J14=8,83,0)</f>
        <v>0</v>
      </c>
      <c r="IC14" s="23">
        <f>IF(J14=9,80,0)</f>
        <v>0</v>
      </c>
      <c r="ID14" s="23">
        <f>IF(J14=10,78,0)</f>
        <v>0</v>
      </c>
      <c r="IE14" s="23">
        <f>IF(J14=11,75,0)</f>
        <v>0</v>
      </c>
      <c r="IF14" s="23">
        <f>IF(J14=12,73,0)</f>
        <v>0</v>
      </c>
      <c r="IG14" s="23">
        <f>IF(J14=13,70,0)</f>
        <v>0</v>
      </c>
      <c r="IH14" s="23">
        <f>IF(J14=14,68,0)</f>
        <v>0</v>
      </c>
      <c r="II14" s="23">
        <f>IF(J14=15,65,0)</f>
        <v>0</v>
      </c>
      <c r="IJ14" s="23">
        <f>IF(J14=16,63,0)</f>
        <v>0</v>
      </c>
      <c r="IK14" s="23">
        <f>IF(J14=17,60,0)</f>
        <v>0</v>
      </c>
      <c r="IL14" s="23">
        <f>IF(J14=18,58,0)</f>
        <v>0</v>
      </c>
      <c r="IM14" s="23">
        <f>IF(J14=19,55,0)</f>
        <v>0</v>
      </c>
      <c r="IN14" s="23">
        <f>IF(J14=20,53,0)</f>
        <v>0</v>
      </c>
      <c r="IO14" s="23">
        <f>IF(J14&gt;20,0,0)</f>
        <v>0</v>
      </c>
      <c r="IP14" s="23">
        <f>IF(J14="сх",0,0)</f>
        <v>0</v>
      </c>
      <c r="IQ14" s="23">
        <f>SUM(HU14:IP14)</f>
        <v>0</v>
      </c>
      <c r="IR14" s="21"/>
      <c r="IS14" s="21"/>
      <c r="IT14" s="21"/>
      <c r="IU14" s="21"/>
      <c r="IV14" s="21"/>
    </row>
    <row r="15" spans="1:256" ht="15.75">
      <c r="A15" s="59" t="s">
        <v>23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32"/>
      <c r="M15" s="6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5"/>
      <c r="DY15" s="5"/>
      <c r="DZ15" s="5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7"/>
      <c r="ES15" s="7"/>
      <c r="ET15" s="7"/>
      <c r="EU15" s="7"/>
      <c r="EV15" s="7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5.75">
      <c r="A16" s="59" t="s">
        <v>89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6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5"/>
      <c r="DY16" s="5"/>
      <c r="DZ16" s="5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7"/>
      <c r="ES16" s="7"/>
      <c r="ET16" s="7"/>
      <c r="EU16" s="7"/>
      <c r="EV16" s="7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5.75">
      <c r="A17" s="59" t="s">
        <v>43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32"/>
      <c r="M17" s="6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5"/>
      <c r="DY17" s="5"/>
      <c r="DZ17" s="5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7"/>
      <c r="ES17" s="7"/>
      <c r="ET17" s="7"/>
      <c r="EU17" s="7"/>
      <c r="EV17" s="7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5.75">
      <c r="A18" s="59" t="s">
        <v>53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6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5"/>
      <c r="DY18" s="5"/>
      <c r="DZ18" s="5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7"/>
      <c r="ES18" s="7"/>
      <c r="ET18" s="7"/>
      <c r="EU18" s="7"/>
      <c r="EV18" s="7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23" spans="14:152" ht="12.75">
      <c r="N23" s="1"/>
      <c r="DP23"/>
      <c r="DQ23"/>
      <c r="DR23"/>
      <c r="DX23" s="1"/>
      <c r="DY23" s="1"/>
      <c r="DZ23" s="1"/>
      <c r="EJ23" s="2"/>
      <c r="EK23" s="2"/>
      <c r="EL23" s="2"/>
      <c r="EM23" s="2"/>
      <c r="EN23" s="2"/>
      <c r="ER23" s="1"/>
      <c r="ES23" s="1"/>
      <c r="ET23" s="1"/>
      <c r="EU23" s="1"/>
      <c r="EV23" s="1"/>
    </row>
    <row r="24" spans="14:152" ht="12.75">
      <c r="N24" s="1"/>
      <c r="DP24"/>
      <c r="DQ24"/>
      <c r="DR24"/>
      <c r="DX24" s="1"/>
      <c r="DY24" s="1"/>
      <c r="DZ24" s="1"/>
      <c r="EJ24" s="2"/>
      <c r="EK24" s="2"/>
      <c r="EL24" s="2"/>
      <c r="EM24" s="2"/>
      <c r="EN24" s="2"/>
      <c r="ER24" s="1"/>
      <c r="ES24" s="1"/>
      <c r="ET24" s="1"/>
      <c r="EU24" s="1"/>
      <c r="EV24" s="1"/>
    </row>
    <row r="25" spans="10:152" ht="12.75">
      <c r="J25"/>
      <c r="N25" s="1"/>
      <c r="DT25"/>
      <c r="DU25"/>
      <c r="DV25"/>
      <c r="DX25" s="1"/>
      <c r="DY25" s="1"/>
      <c r="DZ25" s="1"/>
      <c r="EN25" s="2"/>
      <c r="EO25" s="2"/>
      <c r="EP25" s="2"/>
      <c r="EQ25" s="2"/>
      <c r="ES25" s="1"/>
      <c r="ET25" s="1"/>
      <c r="EU25" s="1"/>
      <c r="EV25" s="1"/>
    </row>
  </sheetData>
  <sheetProtection formatCells="0" formatColumns="0" formatRows="0" insertColumns="0" insertRows="0" insertHyperlinks="0" deleteColumns="0" deleteRows="0" autoFilter="0" pivotTables="0"/>
  <mergeCells count="24">
    <mergeCell ref="M1:M4"/>
    <mergeCell ref="A2:K2"/>
    <mergeCell ref="A3:K3"/>
    <mergeCell ref="A4:L4"/>
    <mergeCell ref="A5:L5"/>
    <mergeCell ref="C7:C9"/>
    <mergeCell ref="D7:D9"/>
    <mergeCell ref="E7:E9"/>
    <mergeCell ref="A16:L16"/>
    <mergeCell ref="M7:M9"/>
    <mergeCell ref="H8:H9"/>
    <mergeCell ref="I8:I9"/>
    <mergeCell ref="J8:J9"/>
    <mergeCell ref="K8:K9"/>
    <mergeCell ref="A17:K17"/>
    <mergeCell ref="A18:L18"/>
    <mergeCell ref="F7:F9"/>
    <mergeCell ref="G7:G9"/>
    <mergeCell ref="H7:I7"/>
    <mergeCell ref="J7:K7"/>
    <mergeCell ref="L7:L9"/>
    <mergeCell ref="A7:A9"/>
    <mergeCell ref="A15:K15"/>
    <mergeCell ref="B7:B9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3 J10:J12 J14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3 H10:H12 H14">
      <formula1>1</formula1>
      <formula2>60</formula2>
    </dataValidation>
  </dataValidations>
  <printOptions horizontalCentered="1"/>
  <pageMargins left="0" right="0.7086614173228346" top="0.11811023622047244" bottom="0" header="0.31496062992125984" footer="0.15748031496062992"/>
  <pageSetup fitToHeight="2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0">
    <pageSetUpPr fitToPage="1"/>
  </sheetPr>
  <dimension ref="A1:IV29"/>
  <sheetViews>
    <sheetView view="pageLayout" zoomScale="91" zoomScalePageLayoutView="91" workbookViewId="0" topLeftCell="A1">
      <selection activeCell="C24" sqref="C24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5.28125" style="1" customWidth="1"/>
    <col min="4" max="4" width="5.8515625" style="1" customWidth="1"/>
    <col min="5" max="5" width="27.28125" style="1" customWidth="1"/>
    <col min="6" max="6" width="16.57421875" style="1" customWidth="1"/>
    <col min="7" max="7" width="12.2812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76.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69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40.5" customHeight="1">
      <c r="A2" s="71" t="s">
        <v>126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29"/>
      <c r="M2" s="70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71" t="s">
        <v>27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30"/>
      <c r="M3" s="70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" customHeight="1">
      <c r="A4" s="72" t="s">
        <v>127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0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73" t="s">
        <v>55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1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60" t="s">
        <v>22</v>
      </c>
      <c r="B7" s="60" t="s">
        <v>0</v>
      </c>
      <c r="C7" s="60" t="s">
        <v>1</v>
      </c>
      <c r="D7" s="60" t="s">
        <v>28</v>
      </c>
      <c r="E7" s="60" t="s">
        <v>25</v>
      </c>
      <c r="F7" s="60" t="s">
        <v>26</v>
      </c>
      <c r="G7" s="60" t="s">
        <v>2</v>
      </c>
      <c r="H7" s="60" t="s">
        <v>3</v>
      </c>
      <c r="I7" s="62"/>
      <c r="J7" s="60" t="s">
        <v>4</v>
      </c>
      <c r="K7" s="62"/>
      <c r="L7" s="63" t="s">
        <v>29</v>
      </c>
      <c r="M7" s="64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61"/>
      <c r="B8" s="60"/>
      <c r="C8" s="60"/>
      <c r="D8" s="61"/>
      <c r="E8" s="61"/>
      <c r="F8" s="60"/>
      <c r="G8" s="61"/>
      <c r="H8" s="60" t="s">
        <v>11</v>
      </c>
      <c r="I8" s="67" t="s">
        <v>24</v>
      </c>
      <c r="J8" s="60" t="s">
        <v>11</v>
      </c>
      <c r="K8" s="67" t="s">
        <v>24</v>
      </c>
      <c r="L8" s="63"/>
      <c r="M8" s="65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61"/>
      <c r="B9" s="60"/>
      <c r="C9" s="60"/>
      <c r="D9" s="61"/>
      <c r="E9" s="61"/>
      <c r="F9" s="60"/>
      <c r="G9" s="61"/>
      <c r="H9" s="61"/>
      <c r="I9" s="68"/>
      <c r="J9" s="61"/>
      <c r="K9" s="68"/>
      <c r="L9" s="63"/>
      <c r="M9" s="66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51">
        <v>1</v>
      </c>
      <c r="B10" s="41">
        <v>18</v>
      </c>
      <c r="C10" s="46" t="s">
        <v>104</v>
      </c>
      <c r="D10" s="41" t="s">
        <v>31</v>
      </c>
      <c r="E10" s="46" t="s">
        <v>36</v>
      </c>
      <c r="F10" s="50" t="s">
        <v>30</v>
      </c>
      <c r="G10" s="48" t="s">
        <v>39</v>
      </c>
      <c r="H10" s="41">
        <v>1</v>
      </c>
      <c r="I10" s="27">
        <v>25</v>
      </c>
      <c r="J10" s="41">
        <v>1</v>
      </c>
      <c r="K10" s="27">
        <v>25</v>
      </c>
      <c r="L10" s="42">
        <v>50</v>
      </c>
      <c r="M10" s="20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3" customFormat="1" ht="15.75" customHeight="1">
      <c r="A11" s="51">
        <v>2</v>
      </c>
      <c r="B11" s="41">
        <v>25</v>
      </c>
      <c r="C11" s="47" t="s">
        <v>102</v>
      </c>
      <c r="D11" s="41" t="s">
        <v>31</v>
      </c>
      <c r="E11" s="46" t="s">
        <v>125</v>
      </c>
      <c r="F11" s="50" t="s">
        <v>30</v>
      </c>
      <c r="G11" s="48" t="s">
        <v>39</v>
      </c>
      <c r="H11" s="41">
        <v>2</v>
      </c>
      <c r="I11" s="27">
        <v>22</v>
      </c>
      <c r="J11" s="41">
        <v>2</v>
      </c>
      <c r="K11" s="27">
        <v>22</v>
      </c>
      <c r="L11" s="42">
        <v>44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51">
        <v>3</v>
      </c>
      <c r="B12" s="41">
        <v>14</v>
      </c>
      <c r="C12" s="46" t="s">
        <v>103</v>
      </c>
      <c r="D12" s="41" t="s">
        <v>31</v>
      </c>
      <c r="E12" s="46" t="s">
        <v>93</v>
      </c>
      <c r="F12" s="50" t="s">
        <v>30</v>
      </c>
      <c r="G12" s="48" t="s">
        <v>39</v>
      </c>
      <c r="H12" s="41">
        <v>3</v>
      </c>
      <c r="I12" s="27">
        <v>20</v>
      </c>
      <c r="J12" s="41">
        <v>3</v>
      </c>
      <c r="K12" s="27">
        <v>20</v>
      </c>
      <c r="L12" s="42">
        <v>40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51">
        <v>4</v>
      </c>
      <c r="B13" s="41">
        <v>3</v>
      </c>
      <c r="C13" s="46" t="s">
        <v>134</v>
      </c>
      <c r="D13" s="41" t="s">
        <v>31</v>
      </c>
      <c r="E13" s="46" t="s">
        <v>34</v>
      </c>
      <c r="F13" s="50" t="s">
        <v>30</v>
      </c>
      <c r="G13" s="48" t="s">
        <v>39</v>
      </c>
      <c r="H13" s="41">
        <v>4</v>
      </c>
      <c r="I13" s="27">
        <v>18</v>
      </c>
      <c r="J13" s="41">
        <v>4</v>
      </c>
      <c r="K13" s="27">
        <v>18</v>
      </c>
      <c r="L13" s="42">
        <v>36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5.75" customHeight="1">
      <c r="A14" s="51">
        <v>5</v>
      </c>
      <c r="B14" s="41">
        <v>23</v>
      </c>
      <c r="C14" s="46" t="s">
        <v>133</v>
      </c>
      <c r="D14" s="41" t="s">
        <v>31</v>
      </c>
      <c r="E14" s="46" t="s">
        <v>100</v>
      </c>
      <c r="F14" s="50" t="s">
        <v>30</v>
      </c>
      <c r="G14" s="48" t="s">
        <v>39</v>
      </c>
      <c r="H14" s="41">
        <v>5</v>
      </c>
      <c r="I14" s="27">
        <v>16</v>
      </c>
      <c r="J14" s="41">
        <v>5</v>
      </c>
      <c r="K14" s="27">
        <v>16</v>
      </c>
      <c r="L14" s="42">
        <v>32</v>
      </c>
      <c r="M14" s="20" t="e">
        <f>#REF!+#REF!</f>
        <v>#REF!</v>
      </c>
      <c r="N14" s="21"/>
      <c r="O14" s="22"/>
      <c r="P14" s="21">
        <f>IF(H14=1,25,0)</f>
        <v>0</v>
      </c>
      <c r="Q14" s="21">
        <f>IF(H14=2,22,0)</f>
        <v>0</v>
      </c>
      <c r="R14" s="21">
        <f>IF(H14=3,20,0)</f>
        <v>0</v>
      </c>
      <c r="S14" s="21">
        <f>IF(H14=4,18,0)</f>
        <v>0</v>
      </c>
      <c r="T14" s="21">
        <f>IF(H14=5,16,0)</f>
        <v>16</v>
      </c>
      <c r="U14" s="21">
        <f>IF(H14=6,15,0)</f>
        <v>0</v>
      </c>
      <c r="V14" s="21">
        <f>IF(H14=7,14,0)</f>
        <v>0</v>
      </c>
      <c r="W14" s="21">
        <f>IF(H14=8,13,0)</f>
        <v>0</v>
      </c>
      <c r="X14" s="21">
        <f>IF(H14=9,12,0)</f>
        <v>0</v>
      </c>
      <c r="Y14" s="21">
        <f>IF(H14=10,11,0)</f>
        <v>0</v>
      </c>
      <c r="Z14" s="21">
        <f>IF(H14=11,10,0)</f>
        <v>0</v>
      </c>
      <c r="AA14" s="21">
        <f>IF(H14=12,9,0)</f>
        <v>0</v>
      </c>
      <c r="AB14" s="21">
        <f>IF(H14=13,8,0)</f>
        <v>0</v>
      </c>
      <c r="AC14" s="21">
        <f>IF(H14=14,7,0)</f>
        <v>0</v>
      </c>
      <c r="AD14" s="21">
        <f>IF(H14=15,6,0)</f>
        <v>0</v>
      </c>
      <c r="AE14" s="21">
        <f>IF(H14=16,5,0)</f>
        <v>0</v>
      </c>
      <c r="AF14" s="21">
        <f>IF(H14=17,4,0)</f>
        <v>0</v>
      </c>
      <c r="AG14" s="21">
        <f>IF(H14=18,3,0)</f>
        <v>0</v>
      </c>
      <c r="AH14" s="21">
        <f>IF(H14=19,2,0)</f>
        <v>0</v>
      </c>
      <c r="AI14" s="21">
        <f>IF(H14=20,1,0)</f>
        <v>0</v>
      </c>
      <c r="AJ14" s="21">
        <f>IF(H14&gt;20,0,0)</f>
        <v>0</v>
      </c>
      <c r="AK14" s="21">
        <f>IF(H14="сх",0,0)</f>
        <v>0</v>
      </c>
      <c r="AL14" s="21">
        <f>SUM(P14:AJ14)</f>
        <v>16</v>
      </c>
      <c r="AM14" s="21">
        <f>IF(J14=1,25,0)</f>
        <v>0</v>
      </c>
      <c r="AN14" s="21">
        <f>IF(J14=2,22,0)</f>
        <v>0</v>
      </c>
      <c r="AO14" s="21">
        <f>IF(J14=3,20,0)</f>
        <v>0</v>
      </c>
      <c r="AP14" s="21">
        <f>IF(J14=4,18,0)</f>
        <v>0</v>
      </c>
      <c r="AQ14" s="21">
        <f>IF(J14=5,16,0)</f>
        <v>16</v>
      </c>
      <c r="AR14" s="21">
        <f>IF(J14=6,15,0)</f>
        <v>0</v>
      </c>
      <c r="AS14" s="21">
        <f>IF(J14=7,14,0)</f>
        <v>0</v>
      </c>
      <c r="AT14" s="21">
        <f>IF(J14=8,13,0)</f>
        <v>0</v>
      </c>
      <c r="AU14" s="21">
        <f>IF(J14=9,12,0)</f>
        <v>0</v>
      </c>
      <c r="AV14" s="21">
        <f>IF(J14=10,11,0)</f>
        <v>0</v>
      </c>
      <c r="AW14" s="21">
        <f>IF(J14=11,10,0)</f>
        <v>0</v>
      </c>
      <c r="AX14" s="21">
        <f>IF(J14=12,9,0)</f>
        <v>0</v>
      </c>
      <c r="AY14" s="21">
        <f>IF(J14=13,8,0)</f>
        <v>0</v>
      </c>
      <c r="AZ14" s="21">
        <f>IF(J14=14,7,0)</f>
        <v>0</v>
      </c>
      <c r="BA14" s="21">
        <f>IF(J14=15,6,0)</f>
        <v>0</v>
      </c>
      <c r="BB14" s="21">
        <f>IF(J14=16,5,0)</f>
        <v>0</v>
      </c>
      <c r="BC14" s="21">
        <f>IF(J14=17,4,0)</f>
        <v>0</v>
      </c>
      <c r="BD14" s="21">
        <f>IF(J14=18,3,0)</f>
        <v>0</v>
      </c>
      <c r="BE14" s="21">
        <f>IF(J14=19,2,0)</f>
        <v>0</v>
      </c>
      <c r="BF14" s="21">
        <f>IF(J14=20,1,0)</f>
        <v>0</v>
      </c>
      <c r="BG14" s="21">
        <f>IF(J14&gt;20,0,0)</f>
        <v>0</v>
      </c>
      <c r="BH14" s="21">
        <f>IF(J14="сх",0,0)</f>
        <v>0</v>
      </c>
      <c r="BI14" s="21">
        <f>SUM(AM14:BG14)</f>
        <v>16</v>
      </c>
      <c r="BJ14" s="21">
        <f>IF(H14=1,45,0)</f>
        <v>0</v>
      </c>
      <c r="BK14" s="21">
        <f>IF(H14=2,42,0)</f>
        <v>0</v>
      </c>
      <c r="BL14" s="21">
        <f>IF(H14=3,40,0)</f>
        <v>0</v>
      </c>
      <c r="BM14" s="21">
        <f>IF(H14=4,38,0)</f>
        <v>0</v>
      </c>
      <c r="BN14" s="21">
        <f>IF(H14=5,36,0)</f>
        <v>36</v>
      </c>
      <c r="BO14" s="21">
        <f>IF(H14=6,35,0)</f>
        <v>0</v>
      </c>
      <c r="BP14" s="21">
        <f>IF(H14=7,34,0)</f>
        <v>0</v>
      </c>
      <c r="BQ14" s="21">
        <f>IF(H14=8,33,0)</f>
        <v>0</v>
      </c>
      <c r="BR14" s="21">
        <f>IF(H14=9,32,0)</f>
        <v>0</v>
      </c>
      <c r="BS14" s="21">
        <f>IF(H14=10,31,0)</f>
        <v>0</v>
      </c>
      <c r="BT14" s="21">
        <f>IF(H14=11,30,0)</f>
        <v>0</v>
      </c>
      <c r="BU14" s="21">
        <f>IF(H14=12,29,0)</f>
        <v>0</v>
      </c>
      <c r="BV14" s="21">
        <f>IF(H14=13,28,0)</f>
        <v>0</v>
      </c>
      <c r="BW14" s="21">
        <f>IF(H14=14,27,0)</f>
        <v>0</v>
      </c>
      <c r="BX14" s="21">
        <f>IF(H14=15,26,0)</f>
        <v>0</v>
      </c>
      <c r="BY14" s="21">
        <f>IF(H14=16,25,0)</f>
        <v>0</v>
      </c>
      <c r="BZ14" s="21">
        <f>IF(H14=17,24,0)</f>
        <v>0</v>
      </c>
      <c r="CA14" s="21">
        <f>IF(H14=18,23,0)</f>
        <v>0</v>
      </c>
      <c r="CB14" s="21">
        <f>IF(H14=19,22,0)</f>
        <v>0</v>
      </c>
      <c r="CC14" s="21">
        <f>IF(H14=20,21,0)</f>
        <v>0</v>
      </c>
      <c r="CD14" s="21">
        <f>IF(H14=21,20,0)</f>
        <v>0</v>
      </c>
      <c r="CE14" s="21">
        <f>IF(H14=22,19,0)</f>
        <v>0</v>
      </c>
      <c r="CF14" s="21">
        <f>IF(H14=23,18,0)</f>
        <v>0</v>
      </c>
      <c r="CG14" s="21">
        <f>IF(H14=24,17,0)</f>
        <v>0</v>
      </c>
      <c r="CH14" s="21">
        <f>IF(H14=25,16,0)</f>
        <v>0</v>
      </c>
      <c r="CI14" s="21">
        <f>IF(H14=26,15,0)</f>
        <v>0</v>
      </c>
      <c r="CJ14" s="21">
        <f>IF(H14=27,14,0)</f>
        <v>0</v>
      </c>
      <c r="CK14" s="21">
        <f>IF(H14=28,13,0)</f>
        <v>0</v>
      </c>
      <c r="CL14" s="21">
        <f>IF(H14=29,12,0)</f>
        <v>0</v>
      </c>
      <c r="CM14" s="21">
        <f>IF(H14=30,11,0)</f>
        <v>0</v>
      </c>
      <c r="CN14" s="21">
        <f>IF(H14=31,10,0)</f>
        <v>0</v>
      </c>
      <c r="CO14" s="21">
        <f>IF(H14=32,9,0)</f>
        <v>0</v>
      </c>
      <c r="CP14" s="21">
        <f>IF(H14=33,8,0)</f>
        <v>0</v>
      </c>
      <c r="CQ14" s="21">
        <f>IF(H14=34,7,0)</f>
        <v>0</v>
      </c>
      <c r="CR14" s="21">
        <f>IF(H14=35,6,0)</f>
        <v>0</v>
      </c>
      <c r="CS14" s="21">
        <f>IF(H14=36,5,0)</f>
        <v>0</v>
      </c>
      <c r="CT14" s="21">
        <f>IF(H14=37,4,0)</f>
        <v>0</v>
      </c>
      <c r="CU14" s="21">
        <f>IF(H14=38,3,0)</f>
        <v>0</v>
      </c>
      <c r="CV14" s="21">
        <f>IF(H14=39,2,0)</f>
        <v>0</v>
      </c>
      <c r="CW14" s="21">
        <f>IF(H14=40,1,0)</f>
        <v>0</v>
      </c>
      <c r="CX14" s="21">
        <f>IF(H14&gt;20,0,0)</f>
        <v>0</v>
      </c>
      <c r="CY14" s="21">
        <f>IF(H14="сх",0,0)</f>
        <v>0</v>
      </c>
      <c r="CZ14" s="21">
        <f>SUM(BJ14:CY14)</f>
        <v>36</v>
      </c>
      <c r="DA14" s="21">
        <f>IF(J14=1,45,0)</f>
        <v>0</v>
      </c>
      <c r="DB14" s="21">
        <f>IF(J14=2,42,0)</f>
        <v>0</v>
      </c>
      <c r="DC14" s="21">
        <f>IF(J14=3,40,0)</f>
        <v>0</v>
      </c>
      <c r="DD14" s="21">
        <f>IF(J14=4,38,0)</f>
        <v>0</v>
      </c>
      <c r="DE14" s="21">
        <f>IF(J14=5,36,0)</f>
        <v>36</v>
      </c>
      <c r="DF14" s="21">
        <f>IF(J14=6,35,0)</f>
        <v>0</v>
      </c>
      <c r="DG14" s="21">
        <f>IF(J14=7,34,0)</f>
        <v>0</v>
      </c>
      <c r="DH14" s="21">
        <f>IF(J14=8,33,0)</f>
        <v>0</v>
      </c>
      <c r="DI14" s="21">
        <f>IF(J14=9,32,0)</f>
        <v>0</v>
      </c>
      <c r="DJ14" s="21">
        <f>IF(J14=10,31,0)</f>
        <v>0</v>
      </c>
      <c r="DK14" s="21">
        <f>IF(J14=11,30,0)</f>
        <v>0</v>
      </c>
      <c r="DL14" s="21">
        <f>IF(J14=12,29,0)</f>
        <v>0</v>
      </c>
      <c r="DM14" s="21">
        <f>IF(J14=13,28,0)</f>
        <v>0</v>
      </c>
      <c r="DN14" s="21">
        <f>IF(J14=14,27,0)</f>
        <v>0</v>
      </c>
      <c r="DO14" s="21">
        <f>IF(J14=15,26,0)</f>
        <v>0</v>
      </c>
      <c r="DP14" s="21">
        <f>IF(J14=16,25,0)</f>
        <v>0</v>
      </c>
      <c r="DQ14" s="21">
        <f>IF(J14=17,24,0)</f>
        <v>0</v>
      </c>
      <c r="DR14" s="21">
        <f>IF(J14=18,23,0)</f>
        <v>0</v>
      </c>
      <c r="DS14" s="21">
        <f>IF(J14=19,22,0)</f>
        <v>0</v>
      </c>
      <c r="DT14" s="21">
        <f>IF(J14=20,21,0)</f>
        <v>0</v>
      </c>
      <c r="DU14" s="21">
        <f>IF(J14=21,20,0)</f>
        <v>0</v>
      </c>
      <c r="DV14" s="21">
        <f>IF(J14=22,19,0)</f>
        <v>0</v>
      </c>
      <c r="DW14" s="21">
        <f>IF(J14=23,18,0)</f>
        <v>0</v>
      </c>
      <c r="DX14" s="21">
        <f>IF(J14=24,17,0)</f>
        <v>0</v>
      </c>
      <c r="DY14" s="21">
        <f>IF(J14=25,16,0)</f>
        <v>0</v>
      </c>
      <c r="DZ14" s="21">
        <f>IF(J14=26,15,0)</f>
        <v>0</v>
      </c>
      <c r="EA14" s="21">
        <f>IF(J14=27,14,0)</f>
        <v>0</v>
      </c>
      <c r="EB14" s="21">
        <f>IF(J14=28,13,0)</f>
        <v>0</v>
      </c>
      <c r="EC14" s="21">
        <f>IF(J14=29,12,0)</f>
        <v>0</v>
      </c>
      <c r="ED14" s="21">
        <f>IF(J14=30,11,0)</f>
        <v>0</v>
      </c>
      <c r="EE14" s="21">
        <f>IF(J14=31,10,0)</f>
        <v>0</v>
      </c>
      <c r="EF14" s="21">
        <f>IF(J14=32,9,0)</f>
        <v>0</v>
      </c>
      <c r="EG14" s="21">
        <f>IF(J14=33,8,0)</f>
        <v>0</v>
      </c>
      <c r="EH14" s="21">
        <f>IF(J14=34,7,0)</f>
        <v>0</v>
      </c>
      <c r="EI14" s="21">
        <f>IF(J14=35,6,0)</f>
        <v>0</v>
      </c>
      <c r="EJ14" s="21">
        <f>IF(J14=36,5,0)</f>
        <v>0</v>
      </c>
      <c r="EK14" s="21">
        <f>IF(J14=37,4,0)</f>
        <v>0</v>
      </c>
      <c r="EL14" s="21">
        <f>IF(J14=38,3,0)</f>
        <v>0</v>
      </c>
      <c r="EM14" s="21">
        <f>IF(J14=39,2,0)</f>
        <v>0</v>
      </c>
      <c r="EN14" s="21">
        <f>IF(J14=40,1,0)</f>
        <v>0</v>
      </c>
      <c r="EO14" s="21">
        <f>IF(J14&gt;20,0,0)</f>
        <v>0</v>
      </c>
      <c r="EP14" s="21">
        <f>IF(J14="сх",0,0)</f>
        <v>0</v>
      </c>
      <c r="EQ14" s="21">
        <f>SUM(DA14:EP14)</f>
        <v>36</v>
      </c>
      <c r="ER14" s="21"/>
      <c r="ES14" s="21">
        <f>IF(H14="сх","ноль",IF(H14&gt;0,H14,"Ноль"))</f>
        <v>5</v>
      </c>
      <c r="ET14" s="21">
        <f>IF(J14="сх","ноль",IF(J14&gt;0,J14,"Ноль"))</f>
        <v>5</v>
      </c>
      <c r="EU14" s="21"/>
      <c r="EV14" s="21">
        <f>MIN(ES14,ET14)</f>
        <v>5</v>
      </c>
      <c r="EW14" s="21" t="e">
        <f>IF(L14=#REF!,IF(J14&lt;#REF!,#REF!,FA14),#REF!)</f>
        <v>#REF!</v>
      </c>
      <c r="EX14" s="21" t="e">
        <f>IF(L14=#REF!,IF(J14&lt;#REF!,0,1))</f>
        <v>#REF!</v>
      </c>
      <c r="EY14" s="21" t="e">
        <f>IF(AND(EV14&gt;=21,EV14&lt;&gt;0),EV14,IF(L14&lt;#REF!,"СТОП",EW14+EX14))</f>
        <v>#REF!</v>
      </c>
      <c r="EZ14" s="21"/>
      <c r="FA14" s="21">
        <v>25</v>
      </c>
      <c r="FB14" s="21">
        <v>26</v>
      </c>
      <c r="FC14" s="21"/>
      <c r="FD14" s="23">
        <f>IF(H14=1,25,0)</f>
        <v>0</v>
      </c>
      <c r="FE14" s="23">
        <f>IF(H14=2,22,0)</f>
        <v>0</v>
      </c>
      <c r="FF14" s="23">
        <f>IF(H14=3,20,0)</f>
        <v>0</v>
      </c>
      <c r="FG14" s="23">
        <f>IF(H14=4,18,0)</f>
        <v>0</v>
      </c>
      <c r="FH14" s="23">
        <f>IF(H14=5,16,0)</f>
        <v>16</v>
      </c>
      <c r="FI14" s="23">
        <f>IF(H14=6,15,0)</f>
        <v>0</v>
      </c>
      <c r="FJ14" s="23">
        <f>IF(H14=7,14,0)</f>
        <v>0</v>
      </c>
      <c r="FK14" s="23">
        <f>IF(H14=8,13,0)</f>
        <v>0</v>
      </c>
      <c r="FL14" s="23">
        <f>IF(H14=9,12,0)</f>
        <v>0</v>
      </c>
      <c r="FM14" s="23">
        <f>IF(H14=10,11,0)</f>
        <v>0</v>
      </c>
      <c r="FN14" s="23">
        <f>IF(H14=11,10,0)</f>
        <v>0</v>
      </c>
      <c r="FO14" s="23">
        <f>IF(H14=12,9,0)</f>
        <v>0</v>
      </c>
      <c r="FP14" s="23">
        <f>IF(H14=13,8,0)</f>
        <v>0</v>
      </c>
      <c r="FQ14" s="23">
        <f>IF(H14=14,7,0)</f>
        <v>0</v>
      </c>
      <c r="FR14" s="23">
        <f>IF(H14=15,6,0)</f>
        <v>0</v>
      </c>
      <c r="FS14" s="23">
        <f>IF(H14=16,5,0)</f>
        <v>0</v>
      </c>
      <c r="FT14" s="23">
        <f>IF(H14=17,4,0)</f>
        <v>0</v>
      </c>
      <c r="FU14" s="23">
        <f>IF(H14=18,3,0)</f>
        <v>0</v>
      </c>
      <c r="FV14" s="23">
        <f>IF(H14=19,2,0)</f>
        <v>0</v>
      </c>
      <c r="FW14" s="23">
        <f>IF(H14=20,1,0)</f>
        <v>0</v>
      </c>
      <c r="FX14" s="23">
        <f>IF(H14&gt;20,0,0)</f>
        <v>0</v>
      </c>
      <c r="FY14" s="23">
        <f>IF(H14="сх",0,0)</f>
        <v>0</v>
      </c>
      <c r="FZ14" s="23">
        <f>SUM(FD14:FY14)</f>
        <v>16</v>
      </c>
      <c r="GA14" s="23">
        <f>IF(J14=1,25,0)</f>
        <v>0</v>
      </c>
      <c r="GB14" s="23">
        <f>IF(J14=2,22,0)</f>
        <v>0</v>
      </c>
      <c r="GC14" s="23">
        <f>IF(J14=3,20,0)</f>
        <v>0</v>
      </c>
      <c r="GD14" s="23">
        <f>IF(J14=4,18,0)</f>
        <v>0</v>
      </c>
      <c r="GE14" s="23">
        <f>IF(J14=5,16,0)</f>
        <v>16</v>
      </c>
      <c r="GF14" s="23">
        <f>IF(J14=6,15,0)</f>
        <v>0</v>
      </c>
      <c r="GG14" s="23">
        <f>IF(J14=7,14,0)</f>
        <v>0</v>
      </c>
      <c r="GH14" s="23">
        <f>IF(J14=8,13,0)</f>
        <v>0</v>
      </c>
      <c r="GI14" s="23">
        <f>IF(J14=9,12,0)</f>
        <v>0</v>
      </c>
      <c r="GJ14" s="23">
        <f>IF(J14=10,11,0)</f>
        <v>0</v>
      </c>
      <c r="GK14" s="23">
        <f>IF(J14=11,10,0)</f>
        <v>0</v>
      </c>
      <c r="GL14" s="23">
        <f>IF(J14=12,9,0)</f>
        <v>0</v>
      </c>
      <c r="GM14" s="23">
        <f>IF(J14=13,8,0)</f>
        <v>0</v>
      </c>
      <c r="GN14" s="23">
        <f>IF(J14=14,7,0)</f>
        <v>0</v>
      </c>
      <c r="GO14" s="23">
        <f>IF(J14=15,6,0)</f>
        <v>0</v>
      </c>
      <c r="GP14" s="23">
        <f>IF(J14=16,5,0)</f>
        <v>0</v>
      </c>
      <c r="GQ14" s="23">
        <f>IF(J14=17,4,0)</f>
        <v>0</v>
      </c>
      <c r="GR14" s="23">
        <f>IF(J14=18,3,0)</f>
        <v>0</v>
      </c>
      <c r="GS14" s="23">
        <f>IF(J14=19,2,0)</f>
        <v>0</v>
      </c>
      <c r="GT14" s="23">
        <f>IF(J14=20,1,0)</f>
        <v>0</v>
      </c>
      <c r="GU14" s="23">
        <f>IF(J14&gt;20,0,0)</f>
        <v>0</v>
      </c>
      <c r="GV14" s="23">
        <f>IF(J14="сх",0,0)</f>
        <v>0</v>
      </c>
      <c r="GW14" s="23">
        <f>SUM(GA14:GV14)</f>
        <v>16</v>
      </c>
      <c r="GX14" s="23">
        <f>IF(H14=1,100,0)</f>
        <v>0</v>
      </c>
      <c r="GY14" s="23">
        <f>IF(H14=2,98,0)</f>
        <v>0</v>
      </c>
      <c r="GZ14" s="23">
        <f>IF(H14=3,95,0)</f>
        <v>0</v>
      </c>
      <c r="HA14" s="23">
        <f>IF(H14=4,93,0)</f>
        <v>0</v>
      </c>
      <c r="HB14" s="23">
        <f>IF(H14=5,90,0)</f>
        <v>90</v>
      </c>
      <c r="HC14" s="23">
        <f>IF(H14=6,88,0)</f>
        <v>0</v>
      </c>
      <c r="HD14" s="23">
        <f>IF(H14=7,85,0)</f>
        <v>0</v>
      </c>
      <c r="HE14" s="23">
        <f>IF(H14=8,83,0)</f>
        <v>0</v>
      </c>
      <c r="HF14" s="23">
        <f>IF(H14=9,80,0)</f>
        <v>0</v>
      </c>
      <c r="HG14" s="23">
        <f>IF(H14=10,78,0)</f>
        <v>0</v>
      </c>
      <c r="HH14" s="23">
        <f>IF(H14=11,75,0)</f>
        <v>0</v>
      </c>
      <c r="HI14" s="23">
        <f>IF(H14=12,73,0)</f>
        <v>0</v>
      </c>
      <c r="HJ14" s="23">
        <f>IF(H14=13,70,0)</f>
        <v>0</v>
      </c>
      <c r="HK14" s="23">
        <f>IF(H14=14,68,0)</f>
        <v>0</v>
      </c>
      <c r="HL14" s="23">
        <f>IF(H14=15,65,0)</f>
        <v>0</v>
      </c>
      <c r="HM14" s="23">
        <f>IF(H14=16,63,0)</f>
        <v>0</v>
      </c>
      <c r="HN14" s="23">
        <f>IF(H14=17,60,0)</f>
        <v>0</v>
      </c>
      <c r="HO14" s="23">
        <f>IF(H14=18,58,0)</f>
        <v>0</v>
      </c>
      <c r="HP14" s="23">
        <f>IF(H14=19,55,0)</f>
        <v>0</v>
      </c>
      <c r="HQ14" s="23">
        <f>IF(H14=20,53,0)</f>
        <v>0</v>
      </c>
      <c r="HR14" s="23">
        <f>IF(H14&gt;20,0,0)</f>
        <v>0</v>
      </c>
      <c r="HS14" s="23">
        <f>IF(H14="сх",0,0)</f>
        <v>0</v>
      </c>
      <c r="HT14" s="23">
        <f>SUM(GX14:HS14)</f>
        <v>90</v>
      </c>
      <c r="HU14" s="23">
        <f>IF(J14=1,100,0)</f>
        <v>0</v>
      </c>
      <c r="HV14" s="23">
        <f>IF(J14=2,98,0)</f>
        <v>0</v>
      </c>
      <c r="HW14" s="23">
        <f>IF(J14=3,95,0)</f>
        <v>0</v>
      </c>
      <c r="HX14" s="23">
        <f>IF(J14=4,93,0)</f>
        <v>0</v>
      </c>
      <c r="HY14" s="23">
        <f>IF(J14=5,90,0)</f>
        <v>90</v>
      </c>
      <c r="HZ14" s="23">
        <f>IF(J14=6,88,0)</f>
        <v>0</v>
      </c>
      <c r="IA14" s="23">
        <f>IF(J14=7,85,0)</f>
        <v>0</v>
      </c>
      <c r="IB14" s="23">
        <f>IF(J14=8,83,0)</f>
        <v>0</v>
      </c>
      <c r="IC14" s="23">
        <f>IF(J14=9,80,0)</f>
        <v>0</v>
      </c>
      <c r="ID14" s="23">
        <f>IF(J14=10,78,0)</f>
        <v>0</v>
      </c>
      <c r="IE14" s="23">
        <f>IF(J14=11,75,0)</f>
        <v>0</v>
      </c>
      <c r="IF14" s="23">
        <f>IF(J14=12,73,0)</f>
        <v>0</v>
      </c>
      <c r="IG14" s="23">
        <f>IF(J14=13,70,0)</f>
        <v>0</v>
      </c>
      <c r="IH14" s="23">
        <f>IF(J14=14,68,0)</f>
        <v>0</v>
      </c>
      <c r="II14" s="23">
        <f>IF(J14=15,65,0)</f>
        <v>0</v>
      </c>
      <c r="IJ14" s="23">
        <f>IF(J14=16,63,0)</f>
        <v>0</v>
      </c>
      <c r="IK14" s="23">
        <f>IF(J14=17,60,0)</f>
        <v>0</v>
      </c>
      <c r="IL14" s="23">
        <f>IF(J14=18,58,0)</f>
        <v>0</v>
      </c>
      <c r="IM14" s="23">
        <f>IF(J14=19,55,0)</f>
        <v>0</v>
      </c>
      <c r="IN14" s="23">
        <f>IF(J14=20,53,0)</f>
        <v>0</v>
      </c>
      <c r="IO14" s="23">
        <f>IF(J14&gt;20,0,0)</f>
        <v>0</v>
      </c>
      <c r="IP14" s="23">
        <f>IF(J14="сх",0,0)</f>
        <v>0</v>
      </c>
      <c r="IQ14" s="23">
        <f>SUM(HU14:IP14)</f>
        <v>90</v>
      </c>
      <c r="IR14" s="21"/>
      <c r="IS14" s="21"/>
      <c r="IT14" s="21"/>
      <c r="IU14" s="21"/>
      <c r="IV14" s="21"/>
    </row>
    <row r="15" spans="1:256" s="3" customFormat="1" ht="15.75" customHeight="1">
      <c r="A15" s="51">
        <v>6</v>
      </c>
      <c r="B15" s="41">
        <v>22</v>
      </c>
      <c r="C15" s="46" t="s">
        <v>128</v>
      </c>
      <c r="D15" s="41" t="s">
        <v>31</v>
      </c>
      <c r="E15" s="46" t="s">
        <v>100</v>
      </c>
      <c r="F15" s="50" t="s">
        <v>30</v>
      </c>
      <c r="G15" s="48" t="s">
        <v>39</v>
      </c>
      <c r="H15" s="41">
        <v>6</v>
      </c>
      <c r="I15" s="27">
        <v>15</v>
      </c>
      <c r="J15" s="41">
        <v>6</v>
      </c>
      <c r="K15" s="27">
        <v>15</v>
      </c>
      <c r="L15" s="42">
        <v>30</v>
      </c>
      <c r="M15" s="20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ht="15.75">
      <c r="A16" s="59" t="s">
        <v>23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32"/>
      <c r="M16" s="6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5"/>
      <c r="DY16" s="5"/>
      <c r="DZ16" s="5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7"/>
      <c r="ES16" s="7"/>
      <c r="ET16" s="7"/>
      <c r="EU16" s="7"/>
      <c r="EV16" s="7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5.75">
      <c r="A17" s="59" t="s">
        <v>89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5"/>
      <c r="DY17" s="5"/>
      <c r="DZ17" s="5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7"/>
      <c r="ES17" s="7"/>
      <c r="ET17" s="7"/>
      <c r="EU17" s="7"/>
      <c r="EV17" s="7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5.75">
      <c r="A18" s="33"/>
      <c r="B18" s="33"/>
      <c r="C18" s="33"/>
      <c r="D18" s="33"/>
      <c r="E18" s="33"/>
      <c r="F18" s="33"/>
      <c r="G18" s="34"/>
      <c r="H18" s="33"/>
      <c r="I18" s="33"/>
      <c r="J18" s="33"/>
      <c r="K18" s="33"/>
      <c r="L18" s="32"/>
      <c r="M18" s="6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5"/>
      <c r="DY18" s="5"/>
      <c r="DZ18" s="5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7"/>
      <c r="ES18" s="7"/>
      <c r="ET18" s="7"/>
      <c r="EU18" s="7"/>
      <c r="EV18" s="7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5.75">
      <c r="A19" s="59" t="s">
        <v>43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32"/>
      <c r="M19" s="6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5"/>
      <c r="DY19" s="5"/>
      <c r="DZ19" s="5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7"/>
      <c r="ES19" s="7"/>
      <c r="ET19" s="7"/>
      <c r="EU19" s="7"/>
      <c r="EV19" s="7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5.75">
      <c r="A20" s="59" t="s">
        <v>53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6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5"/>
      <c r="DY20" s="5"/>
      <c r="DZ20" s="5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7"/>
      <c r="ES20" s="7"/>
      <c r="ET20" s="7"/>
      <c r="EU20" s="7"/>
      <c r="EV20" s="7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9" spans="10:152" ht="12.75">
      <c r="J29"/>
      <c r="N29" s="1"/>
      <c r="DT29"/>
      <c r="DU29"/>
      <c r="DV29"/>
      <c r="DX29" s="1"/>
      <c r="DY29" s="1"/>
      <c r="DZ29" s="1"/>
      <c r="EN29" s="2"/>
      <c r="EO29" s="2"/>
      <c r="EP29" s="2"/>
      <c r="EQ29" s="2"/>
      <c r="ES29" s="1"/>
      <c r="ET29" s="1"/>
      <c r="EU29" s="1"/>
      <c r="EV29" s="1"/>
    </row>
  </sheetData>
  <sheetProtection formatCells="0" formatColumns="0" formatRows="0" insertColumns="0" insertRows="0" insertHyperlinks="0" deleteColumns="0" deleteRows="0" autoFilter="0" pivotTables="0"/>
  <mergeCells count="24">
    <mergeCell ref="A19:K19"/>
    <mergeCell ref="A20:L20"/>
    <mergeCell ref="F7:F9"/>
    <mergeCell ref="G7:G9"/>
    <mergeCell ref="H7:I7"/>
    <mergeCell ref="J7:K7"/>
    <mergeCell ref="L7:L9"/>
    <mergeCell ref="A7:A9"/>
    <mergeCell ref="A16:K16"/>
    <mergeCell ref="B7:B9"/>
    <mergeCell ref="A17:L17"/>
    <mergeCell ref="M7:M9"/>
    <mergeCell ref="H8:H9"/>
    <mergeCell ref="I8:I9"/>
    <mergeCell ref="J8:J9"/>
    <mergeCell ref="K8:K9"/>
    <mergeCell ref="M1:M4"/>
    <mergeCell ref="A2:K2"/>
    <mergeCell ref="A3:K3"/>
    <mergeCell ref="A4:L4"/>
    <mergeCell ref="A5:L5"/>
    <mergeCell ref="C7:C9"/>
    <mergeCell ref="D7:D9"/>
    <mergeCell ref="E7:E9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15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J10:J15">
      <formula1>1</formula1>
      <formula2>60</formula2>
    </dataValidation>
  </dataValidations>
  <printOptions horizontalCentered="1"/>
  <pageMargins left="0" right="0.7086614173228346" top="0.11811023622047244" bottom="0" header="0.31496062992125984" footer="0.15748031496062992"/>
  <pageSetup fitToHeight="2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5">
    <pageSetUpPr fitToPage="1"/>
  </sheetPr>
  <dimension ref="A2:IV38"/>
  <sheetViews>
    <sheetView zoomScalePageLayoutView="0" workbookViewId="0" topLeftCell="A1">
      <selection activeCell="E30" sqref="E30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3.421875" style="1" customWidth="1"/>
    <col min="4" max="4" width="6.57421875" style="1" customWidth="1"/>
    <col min="5" max="5" width="29.00390625" style="1" customWidth="1"/>
    <col min="6" max="6" width="17.71093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81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3.25" customHeight="1">
      <c r="A3" s="71" t="s">
        <v>126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29"/>
    </row>
    <row r="4" spans="1:12" ht="15.75" customHeight="1">
      <c r="A4" s="71" t="s">
        <v>27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30"/>
    </row>
    <row r="5" spans="1:12" ht="15.75" customHeight="1">
      <c r="A5" s="72" t="s">
        <v>127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5.75">
      <c r="A6" s="73" t="s">
        <v>47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1"/>
    </row>
    <row r="8" spans="1:12" ht="12.75">
      <c r="A8" s="60" t="s">
        <v>22</v>
      </c>
      <c r="B8" s="60" t="s">
        <v>0</v>
      </c>
      <c r="C8" s="60" t="s">
        <v>1</v>
      </c>
      <c r="D8" s="60" t="s">
        <v>28</v>
      </c>
      <c r="E8" s="60" t="s">
        <v>25</v>
      </c>
      <c r="F8" s="60" t="s">
        <v>26</v>
      </c>
      <c r="G8" s="60" t="s">
        <v>2</v>
      </c>
      <c r="H8" s="60" t="s">
        <v>3</v>
      </c>
      <c r="I8" s="62"/>
      <c r="J8" s="60" t="s">
        <v>4</v>
      </c>
      <c r="K8" s="62"/>
      <c r="L8" s="63" t="s">
        <v>29</v>
      </c>
    </row>
    <row r="9" spans="1:12" ht="12.75">
      <c r="A9" s="61"/>
      <c r="B9" s="60"/>
      <c r="C9" s="60"/>
      <c r="D9" s="61"/>
      <c r="E9" s="61"/>
      <c r="F9" s="60"/>
      <c r="G9" s="61"/>
      <c r="H9" s="60" t="s">
        <v>11</v>
      </c>
      <c r="I9" s="67" t="s">
        <v>24</v>
      </c>
      <c r="J9" s="60" t="s">
        <v>11</v>
      </c>
      <c r="K9" s="67" t="s">
        <v>24</v>
      </c>
      <c r="L9" s="63"/>
    </row>
    <row r="10" spans="1:12" ht="27" customHeight="1">
      <c r="A10" s="61"/>
      <c r="B10" s="60"/>
      <c r="C10" s="60"/>
      <c r="D10" s="61"/>
      <c r="E10" s="61"/>
      <c r="F10" s="60"/>
      <c r="G10" s="61"/>
      <c r="H10" s="61"/>
      <c r="I10" s="68"/>
      <c r="J10" s="61"/>
      <c r="K10" s="68"/>
      <c r="L10" s="63"/>
    </row>
    <row r="11" spans="1:12" ht="15.75">
      <c r="A11" s="51">
        <v>2</v>
      </c>
      <c r="B11" s="41">
        <v>61</v>
      </c>
      <c r="C11" s="46" t="s">
        <v>70</v>
      </c>
      <c r="D11" s="41" t="s">
        <v>31</v>
      </c>
      <c r="E11" s="46" t="s">
        <v>34</v>
      </c>
      <c r="F11" s="49" t="s">
        <v>30</v>
      </c>
      <c r="G11" s="41" t="s">
        <v>39</v>
      </c>
      <c r="H11" s="41">
        <v>1</v>
      </c>
      <c r="I11" s="27">
        <v>25</v>
      </c>
      <c r="J11" s="41">
        <v>1</v>
      </c>
      <c r="K11" s="27">
        <v>25</v>
      </c>
      <c r="L11" s="42">
        <v>50</v>
      </c>
    </row>
    <row r="12" spans="1:12" ht="15.75">
      <c r="A12" s="51">
        <v>3</v>
      </c>
      <c r="B12" s="41">
        <v>1</v>
      </c>
      <c r="C12" s="46" t="s">
        <v>79</v>
      </c>
      <c r="D12" s="41" t="s">
        <v>31</v>
      </c>
      <c r="E12" s="46" t="s">
        <v>91</v>
      </c>
      <c r="F12" s="49" t="s">
        <v>30</v>
      </c>
      <c r="G12" s="48" t="s">
        <v>39</v>
      </c>
      <c r="H12" s="41">
        <v>2</v>
      </c>
      <c r="I12" s="27">
        <v>22</v>
      </c>
      <c r="J12" s="41">
        <v>2</v>
      </c>
      <c r="K12" s="27">
        <v>22</v>
      </c>
      <c r="L12" s="42">
        <v>44</v>
      </c>
    </row>
    <row r="13" spans="1:256" s="3" customFormat="1" ht="15.75" customHeight="1">
      <c r="A13" s="51">
        <v>4</v>
      </c>
      <c r="B13" s="54">
        <v>70</v>
      </c>
      <c r="C13" s="55" t="s">
        <v>106</v>
      </c>
      <c r="D13" s="54" t="s">
        <v>31</v>
      </c>
      <c r="E13" s="55" t="s">
        <v>66</v>
      </c>
      <c r="F13" s="49" t="s">
        <v>30</v>
      </c>
      <c r="G13" s="41" t="s">
        <v>39</v>
      </c>
      <c r="H13" s="41">
        <v>3</v>
      </c>
      <c r="I13" s="27">
        <v>20</v>
      </c>
      <c r="J13" s="41">
        <v>4</v>
      </c>
      <c r="K13" s="27">
        <v>18</v>
      </c>
      <c r="L13" s="42">
        <v>38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12" ht="15.75">
      <c r="A14" s="51">
        <v>5</v>
      </c>
      <c r="B14" s="41">
        <v>9</v>
      </c>
      <c r="C14" s="47" t="s">
        <v>136</v>
      </c>
      <c r="D14" s="41" t="s">
        <v>31</v>
      </c>
      <c r="E14" s="46" t="s">
        <v>35</v>
      </c>
      <c r="F14" s="49" t="s">
        <v>30</v>
      </c>
      <c r="G14" s="41" t="s">
        <v>37</v>
      </c>
      <c r="H14" s="41">
        <v>5</v>
      </c>
      <c r="I14" s="27">
        <v>16</v>
      </c>
      <c r="J14" s="41">
        <v>3</v>
      </c>
      <c r="K14" s="27">
        <v>20</v>
      </c>
      <c r="L14" s="42">
        <v>36</v>
      </c>
    </row>
    <row r="15" spans="1:12" ht="15.75">
      <c r="A15" s="51">
        <v>1</v>
      </c>
      <c r="B15" s="41">
        <v>33</v>
      </c>
      <c r="C15" s="47" t="s">
        <v>135</v>
      </c>
      <c r="D15" s="41" t="s">
        <v>31</v>
      </c>
      <c r="E15" s="46" t="s">
        <v>36</v>
      </c>
      <c r="F15" s="49" t="s">
        <v>30</v>
      </c>
      <c r="G15" s="48" t="s">
        <v>38</v>
      </c>
      <c r="H15" s="41">
        <v>6</v>
      </c>
      <c r="I15" s="27">
        <v>15</v>
      </c>
      <c r="J15" s="41">
        <v>5</v>
      </c>
      <c r="K15" s="27">
        <v>16</v>
      </c>
      <c r="L15" s="42">
        <v>31</v>
      </c>
    </row>
    <row r="16" spans="1:256" s="3" customFormat="1" ht="14.25" customHeight="1">
      <c r="A16" s="51">
        <v>6</v>
      </c>
      <c r="B16" s="41">
        <v>3</v>
      </c>
      <c r="C16" s="46" t="s">
        <v>90</v>
      </c>
      <c r="D16" s="41" t="s">
        <v>31</v>
      </c>
      <c r="E16" s="46" t="s">
        <v>35</v>
      </c>
      <c r="F16" s="49" t="s">
        <v>30</v>
      </c>
      <c r="G16" s="48" t="s">
        <v>40</v>
      </c>
      <c r="H16" s="41">
        <v>4</v>
      </c>
      <c r="I16" s="27">
        <v>18</v>
      </c>
      <c r="J16" s="41">
        <v>9</v>
      </c>
      <c r="K16" s="27">
        <v>12</v>
      </c>
      <c r="L16" s="42">
        <v>30</v>
      </c>
      <c r="M16" s="4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1"/>
      <c r="IS16" s="21"/>
      <c r="IT16" s="21"/>
      <c r="IU16" s="21"/>
      <c r="IV16" s="23"/>
    </row>
    <row r="17" spans="1:256" s="3" customFormat="1" ht="14.25" customHeight="1">
      <c r="A17" s="51">
        <v>7</v>
      </c>
      <c r="B17" s="41">
        <v>2</v>
      </c>
      <c r="C17" s="46" t="s">
        <v>101</v>
      </c>
      <c r="D17" s="41" t="s">
        <v>31</v>
      </c>
      <c r="E17" s="46" t="s">
        <v>34</v>
      </c>
      <c r="F17" s="49" t="s">
        <v>30</v>
      </c>
      <c r="G17" s="48" t="s">
        <v>39</v>
      </c>
      <c r="H17" s="41">
        <v>9</v>
      </c>
      <c r="I17" s="27">
        <v>12</v>
      </c>
      <c r="J17" s="41">
        <v>6</v>
      </c>
      <c r="K17" s="27">
        <v>15</v>
      </c>
      <c r="L17" s="42">
        <v>27</v>
      </c>
      <c r="M17" s="40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1"/>
      <c r="IS17" s="21"/>
      <c r="IT17" s="21"/>
      <c r="IU17" s="21"/>
      <c r="IV17" s="23"/>
    </row>
    <row r="18" spans="1:256" s="3" customFormat="1" ht="14.25" customHeight="1">
      <c r="A18" s="51">
        <v>8</v>
      </c>
      <c r="B18" s="41">
        <v>20</v>
      </c>
      <c r="C18" s="46" t="s">
        <v>109</v>
      </c>
      <c r="D18" s="41" t="s">
        <v>31</v>
      </c>
      <c r="E18" s="46" t="s">
        <v>35</v>
      </c>
      <c r="F18" s="49" t="s">
        <v>30</v>
      </c>
      <c r="G18" s="48" t="s">
        <v>38</v>
      </c>
      <c r="H18" s="41">
        <v>8</v>
      </c>
      <c r="I18" s="27">
        <v>13</v>
      </c>
      <c r="J18" s="41">
        <v>7</v>
      </c>
      <c r="K18" s="27">
        <v>14</v>
      </c>
      <c r="L18" s="42">
        <v>27</v>
      </c>
      <c r="M18" s="40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1"/>
      <c r="IS18" s="21"/>
      <c r="IT18" s="21"/>
      <c r="IU18" s="21"/>
      <c r="IV18" s="23"/>
    </row>
    <row r="19" spans="1:256" s="3" customFormat="1" ht="14.25" customHeight="1">
      <c r="A19" s="51">
        <v>9</v>
      </c>
      <c r="B19" s="41">
        <v>50</v>
      </c>
      <c r="C19" s="46" t="s">
        <v>80</v>
      </c>
      <c r="D19" s="41" t="s">
        <v>31</v>
      </c>
      <c r="E19" s="46" t="s">
        <v>35</v>
      </c>
      <c r="F19" s="49" t="s">
        <v>30</v>
      </c>
      <c r="G19" s="48" t="s">
        <v>39</v>
      </c>
      <c r="H19" s="41">
        <v>7</v>
      </c>
      <c r="I19" s="27">
        <v>14</v>
      </c>
      <c r="J19" s="41">
        <v>8</v>
      </c>
      <c r="K19" s="27">
        <v>13</v>
      </c>
      <c r="L19" s="42">
        <v>27</v>
      </c>
      <c r="M19" s="40"/>
      <c r="N19" s="21"/>
      <c r="O19" s="2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1"/>
      <c r="IS19" s="21"/>
      <c r="IT19" s="21"/>
      <c r="IU19" s="21"/>
      <c r="IV19" s="23"/>
    </row>
    <row r="20" spans="1:256" s="3" customFormat="1" ht="14.25" customHeight="1">
      <c r="A20" s="51">
        <v>10</v>
      </c>
      <c r="B20" s="41">
        <v>22</v>
      </c>
      <c r="C20" s="46" t="s">
        <v>107</v>
      </c>
      <c r="D20" s="41" t="s">
        <v>31</v>
      </c>
      <c r="E20" s="46" t="s">
        <v>36</v>
      </c>
      <c r="F20" s="49" t="s">
        <v>30</v>
      </c>
      <c r="G20" s="41" t="s">
        <v>37</v>
      </c>
      <c r="H20" s="41">
        <v>10</v>
      </c>
      <c r="I20" s="27">
        <v>11</v>
      </c>
      <c r="J20" s="41">
        <v>10</v>
      </c>
      <c r="K20" s="27">
        <v>11</v>
      </c>
      <c r="L20" s="42">
        <v>22</v>
      </c>
      <c r="M20" s="40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1"/>
      <c r="IS20" s="21"/>
      <c r="IT20" s="21"/>
      <c r="IU20" s="21"/>
      <c r="IV20" s="23"/>
    </row>
    <row r="21" spans="2:152" ht="15.75">
      <c r="B21" s="33" t="s">
        <v>23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2"/>
      <c r="N21" s="1"/>
      <c r="DT21"/>
      <c r="DU21"/>
      <c r="DV21"/>
      <c r="DX21" s="1"/>
      <c r="DY21" s="1"/>
      <c r="DZ21" s="1"/>
      <c r="EN21" s="2"/>
      <c r="EO21" s="2"/>
      <c r="EP21" s="2"/>
      <c r="EQ21" s="2"/>
      <c r="ES21" s="1"/>
      <c r="ET21" s="1"/>
      <c r="EU21" s="1"/>
      <c r="EV21" s="1"/>
    </row>
    <row r="22" spans="2:152" ht="15.75">
      <c r="B22" s="59" t="s">
        <v>89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1"/>
      <c r="DP22"/>
      <c r="DQ22"/>
      <c r="DR22"/>
      <c r="DX22" s="1"/>
      <c r="DY22" s="1"/>
      <c r="DZ22" s="1"/>
      <c r="EJ22" s="2"/>
      <c r="EK22" s="2"/>
      <c r="EL22" s="2"/>
      <c r="EM22" s="2"/>
      <c r="EN22" s="2"/>
      <c r="ER22" s="1"/>
      <c r="ES22" s="1"/>
      <c r="ET22" s="1"/>
      <c r="EU22" s="1"/>
      <c r="EV22" s="1"/>
    </row>
    <row r="23" spans="2:152" ht="15.75">
      <c r="B23" s="59" t="s">
        <v>43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32"/>
      <c r="N23" s="1"/>
      <c r="DT23"/>
      <c r="DU23"/>
      <c r="DV23"/>
      <c r="DX23" s="1"/>
      <c r="DY23" s="1"/>
      <c r="DZ23" s="1"/>
      <c r="EN23" s="2"/>
      <c r="EO23" s="2"/>
      <c r="EP23" s="2"/>
      <c r="EQ23" s="2"/>
      <c r="ES23" s="1"/>
      <c r="ET23" s="1"/>
      <c r="EU23" s="1"/>
      <c r="EV23" s="1"/>
    </row>
    <row r="24" spans="2:152" ht="15.75">
      <c r="B24" s="59" t="s">
        <v>53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1"/>
      <c r="DT24"/>
      <c r="DU24"/>
      <c r="DV24"/>
      <c r="DX24" s="1"/>
      <c r="DY24" s="1"/>
      <c r="DZ24" s="1"/>
      <c r="EN24" s="2"/>
      <c r="EO24" s="2"/>
      <c r="EP24" s="2"/>
      <c r="EQ24" s="2"/>
      <c r="ES24" s="1"/>
      <c r="ET24" s="1"/>
      <c r="EU24" s="1"/>
      <c r="EV24" s="1"/>
    </row>
    <row r="36" spans="2:5" ht="15">
      <c r="B36" s="3"/>
      <c r="C36" s="3"/>
      <c r="D36" s="3"/>
      <c r="E36" s="3"/>
    </row>
    <row r="38" spans="2:5" ht="15">
      <c r="B38" s="3"/>
      <c r="C38" s="3"/>
      <c r="D38" s="3"/>
      <c r="E38" s="3"/>
    </row>
  </sheetData>
  <sheetProtection formatCells="0" formatColumns="0" formatRows="0" insertColumns="0" insertRows="0" insertHyperlinks="0" deleteColumns="0" deleteRows="0" autoFilter="0" pivotTables="0"/>
  <mergeCells count="21">
    <mergeCell ref="F8:F10"/>
    <mergeCell ref="L8:L10"/>
    <mergeCell ref="A8:A10"/>
    <mergeCell ref="B22:M22"/>
    <mergeCell ref="A3:K3"/>
    <mergeCell ref="A4:K4"/>
    <mergeCell ref="A5:L5"/>
    <mergeCell ref="A6:L6"/>
    <mergeCell ref="E8:E10"/>
    <mergeCell ref="J9:J10"/>
    <mergeCell ref="J8:K8"/>
    <mergeCell ref="B23:L23"/>
    <mergeCell ref="B24:M24"/>
    <mergeCell ref="C8:C10"/>
    <mergeCell ref="D8:D10"/>
    <mergeCell ref="H9:H10"/>
    <mergeCell ref="I9:I10"/>
    <mergeCell ref="B8:B10"/>
    <mergeCell ref="H8:I8"/>
    <mergeCell ref="K9:K10"/>
    <mergeCell ref="G8:G10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9 J11:J18 J20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9 H11:H18 H20">
      <formula1>1</formula1>
      <formula2>60</formula2>
    </dataValidation>
  </dataValidations>
  <printOptions horizontalCentered="1"/>
  <pageMargins left="0.11811023622047245" right="0.11811023622047245" top="0.1968503937007874" bottom="0.1968503937007874" header="0.11811023622047245" footer="0.11811023622047245"/>
  <pageSetup fitToHeight="2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6">
    <pageSetUpPr fitToPage="1"/>
  </sheetPr>
  <dimension ref="A2:IV28"/>
  <sheetViews>
    <sheetView zoomScalePageLayoutView="0" workbookViewId="0" topLeftCell="A1">
      <selection activeCell="D14" sqref="D14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4.421875" style="1" customWidth="1"/>
    <col min="4" max="4" width="7.7109375" style="1" customWidth="1"/>
    <col min="5" max="5" width="34.421875" style="1" customWidth="1"/>
    <col min="6" max="6" width="19.57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73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6.25" customHeight="1">
      <c r="A3" s="71" t="s">
        <v>126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29"/>
    </row>
    <row r="4" spans="1:12" ht="15.75" customHeight="1">
      <c r="A4" s="71" t="s">
        <v>27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30"/>
    </row>
    <row r="5" spans="1:12" ht="15.75" customHeight="1">
      <c r="A5" s="72" t="s">
        <v>127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5.75">
      <c r="A6" s="73" t="s">
        <v>48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1"/>
    </row>
    <row r="8" spans="1:12" ht="12.75">
      <c r="A8" s="60" t="s">
        <v>22</v>
      </c>
      <c r="B8" s="60" t="s">
        <v>0</v>
      </c>
      <c r="C8" s="60" t="s">
        <v>1</v>
      </c>
      <c r="D8" s="60" t="s">
        <v>28</v>
      </c>
      <c r="E8" s="60" t="s">
        <v>25</v>
      </c>
      <c r="F8" s="60" t="s">
        <v>26</v>
      </c>
      <c r="G8" s="60" t="s">
        <v>2</v>
      </c>
      <c r="H8" s="60" t="s">
        <v>3</v>
      </c>
      <c r="I8" s="62"/>
      <c r="J8" s="60" t="s">
        <v>4</v>
      </c>
      <c r="K8" s="62"/>
      <c r="L8" s="63" t="s">
        <v>29</v>
      </c>
    </row>
    <row r="9" spans="1:12" ht="12.75">
      <c r="A9" s="61"/>
      <c r="B9" s="60"/>
      <c r="C9" s="60"/>
      <c r="D9" s="61"/>
      <c r="E9" s="61"/>
      <c r="F9" s="60"/>
      <c r="G9" s="61"/>
      <c r="H9" s="60" t="s">
        <v>11</v>
      </c>
      <c r="I9" s="67" t="s">
        <v>24</v>
      </c>
      <c r="J9" s="60" t="s">
        <v>11</v>
      </c>
      <c r="K9" s="67" t="s">
        <v>24</v>
      </c>
      <c r="L9" s="63"/>
    </row>
    <row r="10" spans="1:12" ht="26.25" customHeight="1">
      <c r="A10" s="61"/>
      <c r="B10" s="60"/>
      <c r="C10" s="60"/>
      <c r="D10" s="61"/>
      <c r="E10" s="61"/>
      <c r="F10" s="60"/>
      <c r="G10" s="61"/>
      <c r="H10" s="61"/>
      <c r="I10" s="68"/>
      <c r="J10" s="61"/>
      <c r="K10" s="68"/>
      <c r="L10" s="63"/>
    </row>
    <row r="11" spans="1:12" ht="15.75">
      <c r="A11" s="51">
        <v>1</v>
      </c>
      <c r="B11" s="41">
        <v>112</v>
      </c>
      <c r="C11" s="47" t="s">
        <v>69</v>
      </c>
      <c r="D11" s="41"/>
      <c r="E11" s="46" t="s">
        <v>36</v>
      </c>
      <c r="F11" s="49" t="s">
        <v>30</v>
      </c>
      <c r="G11" s="48" t="s">
        <v>38</v>
      </c>
      <c r="H11" s="41">
        <v>1</v>
      </c>
      <c r="I11" s="27">
        <v>25</v>
      </c>
      <c r="J11" s="41">
        <v>2</v>
      </c>
      <c r="K11" s="27">
        <v>22</v>
      </c>
      <c r="L11" s="42">
        <v>47</v>
      </c>
    </row>
    <row r="12" spans="1:256" s="3" customFormat="1" ht="14.25" customHeight="1">
      <c r="A12" s="51">
        <v>2</v>
      </c>
      <c r="B12" s="41">
        <v>500</v>
      </c>
      <c r="C12" s="47" t="s">
        <v>110</v>
      </c>
      <c r="D12" s="41" t="s">
        <v>31</v>
      </c>
      <c r="E12" s="46" t="s">
        <v>111</v>
      </c>
      <c r="F12" s="49" t="s">
        <v>30</v>
      </c>
      <c r="G12" s="41" t="s">
        <v>37</v>
      </c>
      <c r="H12" s="41">
        <v>4</v>
      </c>
      <c r="I12" s="27">
        <v>18</v>
      </c>
      <c r="J12" s="41">
        <v>1</v>
      </c>
      <c r="K12" s="27">
        <v>25</v>
      </c>
      <c r="L12" s="42">
        <v>43</v>
      </c>
      <c r="M12" s="4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1"/>
      <c r="IS12" s="21"/>
      <c r="IT12" s="21"/>
      <c r="IU12" s="21"/>
      <c r="IV12" s="23"/>
    </row>
    <row r="13" spans="1:12" ht="15.75">
      <c r="A13" s="51">
        <v>3</v>
      </c>
      <c r="B13" s="54">
        <v>88</v>
      </c>
      <c r="C13" s="55" t="s">
        <v>105</v>
      </c>
      <c r="D13" s="41" t="s">
        <v>31</v>
      </c>
      <c r="E13" s="55" t="s">
        <v>35</v>
      </c>
      <c r="F13" s="49" t="s">
        <v>30</v>
      </c>
      <c r="G13" s="48" t="s">
        <v>38</v>
      </c>
      <c r="H13" s="41">
        <v>2</v>
      </c>
      <c r="I13" s="27">
        <v>22</v>
      </c>
      <c r="J13" s="41">
        <v>4</v>
      </c>
      <c r="K13" s="27">
        <v>18</v>
      </c>
      <c r="L13" s="42">
        <v>40</v>
      </c>
    </row>
    <row r="14" spans="1:12" ht="15.75">
      <c r="A14" s="51">
        <v>4</v>
      </c>
      <c r="B14" s="41">
        <v>61</v>
      </c>
      <c r="C14" s="46" t="s">
        <v>70</v>
      </c>
      <c r="D14" s="41" t="s">
        <v>31</v>
      </c>
      <c r="E14" s="46" t="s">
        <v>34</v>
      </c>
      <c r="F14" s="49" t="s">
        <v>30</v>
      </c>
      <c r="G14" s="41" t="s">
        <v>37</v>
      </c>
      <c r="H14" s="41">
        <v>5</v>
      </c>
      <c r="I14" s="27">
        <v>16</v>
      </c>
      <c r="J14" s="41">
        <v>3</v>
      </c>
      <c r="K14" s="27">
        <v>20</v>
      </c>
      <c r="L14" s="42">
        <v>36</v>
      </c>
    </row>
    <row r="15" spans="1:12" ht="15.75">
      <c r="A15" s="51">
        <v>5</v>
      </c>
      <c r="B15" s="41">
        <v>22</v>
      </c>
      <c r="C15" s="46" t="s">
        <v>64</v>
      </c>
      <c r="D15" s="41" t="s">
        <v>123</v>
      </c>
      <c r="E15" s="46" t="s">
        <v>35</v>
      </c>
      <c r="F15" s="49" t="s">
        <v>30</v>
      </c>
      <c r="G15" s="41" t="s">
        <v>39</v>
      </c>
      <c r="H15" s="41">
        <v>3</v>
      </c>
      <c r="I15" s="27">
        <v>20</v>
      </c>
      <c r="J15" s="41">
        <v>5</v>
      </c>
      <c r="K15" s="27">
        <v>16</v>
      </c>
      <c r="L15" s="42">
        <v>36</v>
      </c>
    </row>
    <row r="16" spans="1:256" s="3" customFormat="1" ht="15.75" customHeight="1">
      <c r="A16" s="51">
        <v>6</v>
      </c>
      <c r="B16" s="41">
        <v>24</v>
      </c>
      <c r="C16" s="47" t="s">
        <v>137</v>
      </c>
      <c r="D16" s="41" t="s">
        <v>31</v>
      </c>
      <c r="E16" s="46" t="s">
        <v>35</v>
      </c>
      <c r="F16" s="49" t="s">
        <v>30</v>
      </c>
      <c r="G16" s="41" t="s">
        <v>37</v>
      </c>
      <c r="H16" s="41">
        <v>6</v>
      </c>
      <c r="I16" s="27">
        <v>15</v>
      </c>
      <c r="J16" s="41">
        <v>6</v>
      </c>
      <c r="K16" s="27">
        <v>15</v>
      </c>
      <c r="L16" s="42">
        <v>30</v>
      </c>
      <c r="M16" s="2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12" ht="15.75">
      <c r="A17" s="51">
        <v>7</v>
      </c>
      <c r="B17" s="41">
        <v>5</v>
      </c>
      <c r="C17" s="46" t="s">
        <v>68</v>
      </c>
      <c r="D17" s="41" t="s">
        <v>121</v>
      </c>
      <c r="E17" s="46" t="s">
        <v>35</v>
      </c>
      <c r="F17" s="49" t="s">
        <v>30</v>
      </c>
      <c r="G17" s="48" t="s">
        <v>41</v>
      </c>
      <c r="H17" s="41">
        <v>8</v>
      </c>
      <c r="I17" s="27">
        <v>13</v>
      </c>
      <c r="J17" s="41">
        <v>7</v>
      </c>
      <c r="K17" s="27">
        <v>14</v>
      </c>
      <c r="L17" s="42">
        <v>27</v>
      </c>
    </row>
    <row r="18" spans="1:12" ht="15.75">
      <c r="A18" s="51">
        <v>8</v>
      </c>
      <c r="B18" s="41">
        <v>28</v>
      </c>
      <c r="C18" s="46" t="s">
        <v>94</v>
      </c>
      <c r="D18" s="41" t="s">
        <v>31</v>
      </c>
      <c r="E18" s="46" t="s">
        <v>35</v>
      </c>
      <c r="F18" s="49" t="s">
        <v>30</v>
      </c>
      <c r="G18" s="41" t="s">
        <v>39</v>
      </c>
      <c r="H18" s="41">
        <v>7</v>
      </c>
      <c r="I18" s="27">
        <v>14</v>
      </c>
      <c r="J18" s="41">
        <v>8</v>
      </c>
      <c r="K18" s="27">
        <v>13</v>
      </c>
      <c r="L18" s="42">
        <v>27</v>
      </c>
    </row>
    <row r="19" spans="1:12" ht="15.75">
      <c r="A19" s="51">
        <v>9</v>
      </c>
      <c r="B19" s="41">
        <v>55</v>
      </c>
      <c r="C19" s="47" t="s">
        <v>78</v>
      </c>
      <c r="D19" s="41" t="s">
        <v>31</v>
      </c>
      <c r="E19" s="46" t="s">
        <v>35</v>
      </c>
      <c r="F19" s="49" t="s">
        <v>30</v>
      </c>
      <c r="G19" s="41" t="s">
        <v>37</v>
      </c>
      <c r="H19" s="41">
        <v>9</v>
      </c>
      <c r="I19" s="27">
        <v>12</v>
      </c>
      <c r="J19" s="41">
        <v>9</v>
      </c>
      <c r="K19" s="27">
        <v>12</v>
      </c>
      <c r="L19" s="42">
        <v>24</v>
      </c>
    </row>
    <row r="20" spans="1:12" ht="15.75">
      <c r="A20" s="51">
        <v>10</v>
      </c>
      <c r="B20" s="41">
        <v>62</v>
      </c>
      <c r="C20" s="47" t="s">
        <v>108</v>
      </c>
      <c r="D20" s="41" t="s">
        <v>31</v>
      </c>
      <c r="E20" s="46" t="s">
        <v>35</v>
      </c>
      <c r="F20" s="49" t="s">
        <v>30</v>
      </c>
      <c r="G20" s="48" t="s">
        <v>40</v>
      </c>
      <c r="H20" s="41">
        <v>10</v>
      </c>
      <c r="I20" s="27">
        <v>11</v>
      </c>
      <c r="J20" s="41">
        <v>10</v>
      </c>
      <c r="K20" s="27">
        <v>11</v>
      </c>
      <c r="L20" s="42">
        <v>22</v>
      </c>
    </row>
    <row r="21" spans="1:12" ht="15.75">
      <c r="A21" s="51">
        <v>11</v>
      </c>
      <c r="B21" s="41">
        <v>92</v>
      </c>
      <c r="C21" s="47" t="s">
        <v>138</v>
      </c>
      <c r="D21" s="41" t="s">
        <v>31</v>
      </c>
      <c r="E21" s="46" t="s">
        <v>66</v>
      </c>
      <c r="F21" s="49" t="s">
        <v>30</v>
      </c>
      <c r="G21" s="48" t="s">
        <v>38</v>
      </c>
      <c r="H21" s="41">
        <v>11</v>
      </c>
      <c r="I21" s="27">
        <v>10</v>
      </c>
      <c r="J21" s="41">
        <v>11</v>
      </c>
      <c r="K21" s="27">
        <v>10</v>
      </c>
      <c r="L21" s="42">
        <v>20</v>
      </c>
    </row>
    <row r="22" spans="1:12" ht="15.75">
      <c r="A22" s="51">
        <v>12</v>
      </c>
      <c r="B22" s="41">
        <v>50</v>
      </c>
      <c r="C22" s="46" t="s">
        <v>80</v>
      </c>
      <c r="D22" s="41" t="s">
        <v>31</v>
      </c>
      <c r="E22" s="46" t="s">
        <v>35</v>
      </c>
      <c r="F22" s="49" t="s">
        <v>30</v>
      </c>
      <c r="G22" s="48" t="s">
        <v>38</v>
      </c>
      <c r="H22" s="41">
        <v>13</v>
      </c>
      <c r="I22" s="27">
        <v>8</v>
      </c>
      <c r="J22" s="41">
        <v>12</v>
      </c>
      <c r="K22" s="27">
        <v>9</v>
      </c>
      <c r="L22" s="42">
        <v>17</v>
      </c>
    </row>
    <row r="23" spans="1:12" ht="15.75">
      <c r="A23" s="51">
        <v>13</v>
      </c>
      <c r="B23" s="41">
        <v>272</v>
      </c>
      <c r="C23" s="46" t="s">
        <v>139</v>
      </c>
      <c r="D23" s="41" t="s">
        <v>31</v>
      </c>
      <c r="E23" s="46" t="s">
        <v>140</v>
      </c>
      <c r="F23" s="49" t="s">
        <v>30</v>
      </c>
      <c r="G23" s="48" t="s">
        <v>40</v>
      </c>
      <c r="H23" s="41">
        <v>12</v>
      </c>
      <c r="I23" s="27">
        <v>9</v>
      </c>
      <c r="J23" s="41" t="s">
        <v>59</v>
      </c>
      <c r="K23" s="27">
        <v>0</v>
      </c>
      <c r="L23" s="42">
        <v>12</v>
      </c>
    </row>
    <row r="24" ht="15.75">
      <c r="G24" s="33"/>
    </row>
    <row r="25" spans="3:14" ht="15.75">
      <c r="C25" s="33" t="s">
        <v>23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2"/>
    </row>
    <row r="26" spans="3:152" ht="15.75">
      <c r="C26" s="33" t="s">
        <v>89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DT26"/>
      <c r="DU26"/>
      <c r="DV26"/>
      <c r="DX26" s="1"/>
      <c r="DY26" s="1"/>
      <c r="DZ26" s="1"/>
      <c r="EN26" s="2"/>
      <c r="EO26" s="2"/>
      <c r="EP26" s="2"/>
      <c r="EQ26" s="2"/>
      <c r="ES26" s="1"/>
      <c r="ET26" s="1"/>
      <c r="EU26" s="1"/>
      <c r="EV26" s="1"/>
    </row>
    <row r="27" spans="3:152" ht="15.75">
      <c r="C27" s="33" t="s">
        <v>43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2"/>
      <c r="DT27"/>
      <c r="DU27"/>
      <c r="DV27"/>
      <c r="DX27" s="1"/>
      <c r="DY27" s="1"/>
      <c r="DZ27" s="1"/>
      <c r="EN27" s="2"/>
      <c r="EO27" s="2"/>
      <c r="EP27" s="2"/>
      <c r="EQ27" s="2"/>
      <c r="ES27" s="1"/>
      <c r="ET27" s="1"/>
      <c r="EU27" s="1"/>
      <c r="EV27" s="1"/>
    </row>
    <row r="28" spans="3:14" ht="15.75">
      <c r="C28" s="33" t="s">
        <v>53</v>
      </c>
      <c r="D28" s="33"/>
      <c r="E28" s="33"/>
      <c r="F28" s="33"/>
      <c r="H28" s="33"/>
      <c r="I28" s="33"/>
      <c r="J28" s="33"/>
      <c r="K28" s="33"/>
      <c r="L28" s="33"/>
      <c r="M28" s="33"/>
      <c r="N28" s="33"/>
    </row>
    <row r="29" ht="10.5" customHeight="1"/>
    <row r="30" ht="10.5" customHeight="1"/>
    <row r="31" ht="10.5" customHeight="1"/>
    <row r="32" ht="10.5" customHeight="1"/>
    <row r="33" ht="10.5" customHeight="1"/>
  </sheetData>
  <sheetProtection formatCells="0" formatColumns="0" formatRows="0" insertColumns="0" insertRows="0" insertHyperlinks="0" deleteColumns="0" deleteRows="0" autoFilter="0" pivotTables="0"/>
  <mergeCells count="18">
    <mergeCell ref="C8:C10"/>
    <mergeCell ref="D8:D10"/>
    <mergeCell ref="B8:B10"/>
    <mergeCell ref="J9:J10"/>
    <mergeCell ref="J8:K8"/>
    <mergeCell ref="L8:L10"/>
    <mergeCell ref="H9:H10"/>
    <mergeCell ref="I9:I10"/>
    <mergeCell ref="A3:K3"/>
    <mergeCell ref="A4:K4"/>
    <mergeCell ref="A5:L5"/>
    <mergeCell ref="A6:L6"/>
    <mergeCell ref="E8:E10"/>
    <mergeCell ref="F8:F10"/>
    <mergeCell ref="G8:G10"/>
    <mergeCell ref="H8:I8"/>
    <mergeCell ref="A8:A10"/>
    <mergeCell ref="K9:K10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1:H23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J11:J23">
      <formula1>1</formula1>
      <formula2>60</formula2>
    </dataValidation>
  </dataValidations>
  <printOptions horizontalCentered="1"/>
  <pageMargins left="0.11811023622047245" right="0.11811023622047245" top="0.1968503937007874" bottom="0.1968503937007874" header="0.11811023622047245" footer="0.11811023622047245"/>
  <pageSetup fitToHeight="2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7">
    <pageSetUpPr fitToPage="1"/>
  </sheetPr>
  <dimension ref="A2:IV22"/>
  <sheetViews>
    <sheetView zoomScalePageLayoutView="0" workbookViewId="0" topLeftCell="A1">
      <selection activeCell="D28" sqref="D28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6.57421875" style="1" customWidth="1"/>
    <col min="4" max="4" width="7.7109375" style="1" customWidth="1"/>
    <col min="5" max="5" width="32.8515625" style="1" customWidth="1"/>
    <col min="6" max="6" width="21.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77.2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.75" customHeight="1">
      <c r="A3" s="71" t="s">
        <v>126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29"/>
    </row>
    <row r="4" spans="1:12" ht="15.75" customHeight="1">
      <c r="A4" s="71" t="s">
        <v>27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30"/>
    </row>
    <row r="5" spans="1:12" ht="15.75" customHeight="1">
      <c r="A5" s="72" t="s">
        <v>127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5.75">
      <c r="A6" s="73" t="s">
        <v>54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1"/>
    </row>
    <row r="8" spans="1:12" ht="12.75">
      <c r="A8" s="60" t="s">
        <v>22</v>
      </c>
      <c r="B8" s="60" t="s">
        <v>0</v>
      </c>
      <c r="C8" s="60" t="s">
        <v>1</v>
      </c>
      <c r="D8" s="60" t="s">
        <v>28</v>
      </c>
      <c r="E8" s="60" t="s">
        <v>25</v>
      </c>
      <c r="F8" s="60" t="s">
        <v>26</v>
      </c>
      <c r="G8" s="60" t="s">
        <v>2</v>
      </c>
      <c r="H8" s="60" t="s">
        <v>3</v>
      </c>
      <c r="I8" s="62"/>
      <c r="J8" s="60" t="s">
        <v>4</v>
      </c>
      <c r="K8" s="62"/>
      <c r="L8" s="63" t="s">
        <v>29</v>
      </c>
    </row>
    <row r="9" spans="1:12" ht="12.75">
      <c r="A9" s="61"/>
      <c r="B9" s="60"/>
      <c r="C9" s="60"/>
      <c r="D9" s="61"/>
      <c r="E9" s="61"/>
      <c r="F9" s="60"/>
      <c r="G9" s="61"/>
      <c r="H9" s="60" t="s">
        <v>11</v>
      </c>
      <c r="I9" s="67" t="s">
        <v>24</v>
      </c>
      <c r="J9" s="60" t="s">
        <v>11</v>
      </c>
      <c r="K9" s="67" t="s">
        <v>24</v>
      </c>
      <c r="L9" s="63"/>
    </row>
    <row r="10" spans="1:12" ht="27" customHeight="1">
      <c r="A10" s="61"/>
      <c r="B10" s="60"/>
      <c r="C10" s="60"/>
      <c r="D10" s="61"/>
      <c r="E10" s="61"/>
      <c r="F10" s="60"/>
      <c r="G10" s="61"/>
      <c r="H10" s="61"/>
      <c r="I10" s="68"/>
      <c r="J10" s="61"/>
      <c r="K10" s="68"/>
      <c r="L10" s="63"/>
    </row>
    <row r="11" spans="1:12" ht="15.75">
      <c r="A11" s="51">
        <v>1</v>
      </c>
      <c r="B11" s="41">
        <v>51</v>
      </c>
      <c r="C11" s="46" t="s">
        <v>113</v>
      </c>
      <c r="D11" s="41">
        <v>1</v>
      </c>
      <c r="E11" s="46" t="s">
        <v>96</v>
      </c>
      <c r="F11" s="49" t="s">
        <v>30</v>
      </c>
      <c r="G11" s="48" t="s">
        <v>40</v>
      </c>
      <c r="H11" s="41">
        <v>1</v>
      </c>
      <c r="I11" s="27">
        <v>25</v>
      </c>
      <c r="J11" s="41">
        <v>1</v>
      </c>
      <c r="K11" s="27">
        <v>25</v>
      </c>
      <c r="L11" s="42">
        <v>50</v>
      </c>
    </row>
    <row r="12" spans="1:256" s="3" customFormat="1" ht="15.75" customHeight="1">
      <c r="A12" s="51">
        <v>2</v>
      </c>
      <c r="B12" s="41">
        <v>86</v>
      </c>
      <c r="C12" s="46" t="s">
        <v>114</v>
      </c>
      <c r="D12" s="41">
        <v>2</v>
      </c>
      <c r="E12" s="46" t="s">
        <v>45</v>
      </c>
      <c r="F12" s="49" t="s">
        <v>30</v>
      </c>
      <c r="G12" s="41" t="s">
        <v>39</v>
      </c>
      <c r="H12" s="41">
        <v>2</v>
      </c>
      <c r="I12" s="27">
        <v>22</v>
      </c>
      <c r="J12" s="41">
        <v>2</v>
      </c>
      <c r="K12" s="27">
        <v>22</v>
      </c>
      <c r="L12" s="42">
        <v>44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12" ht="15.75">
      <c r="A13" s="51">
        <v>3</v>
      </c>
      <c r="B13" s="41">
        <v>70</v>
      </c>
      <c r="C13" s="46" t="s">
        <v>112</v>
      </c>
      <c r="D13" s="41">
        <v>2</v>
      </c>
      <c r="E13" s="46" t="s">
        <v>65</v>
      </c>
      <c r="F13" s="49" t="s">
        <v>30</v>
      </c>
      <c r="G13" s="48" t="s">
        <v>38</v>
      </c>
      <c r="H13" s="41">
        <v>4</v>
      </c>
      <c r="I13" s="27">
        <v>18</v>
      </c>
      <c r="J13" s="41">
        <v>3</v>
      </c>
      <c r="K13" s="27">
        <v>20</v>
      </c>
      <c r="L13" s="42">
        <v>38</v>
      </c>
    </row>
    <row r="14" spans="1:12" ht="15.75">
      <c r="A14" s="51">
        <v>4</v>
      </c>
      <c r="B14" s="41">
        <v>81</v>
      </c>
      <c r="C14" s="46" t="s">
        <v>141</v>
      </c>
      <c r="D14" s="41"/>
      <c r="E14" s="46" t="s">
        <v>44</v>
      </c>
      <c r="F14" s="49" t="s">
        <v>30</v>
      </c>
      <c r="G14" s="48" t="s">
        <v>38</v>
      </c>
      <c r="H14" s="41">
        <v>3</v>
      </c>
      <c r="I14" s="27">
        <v>20</v>
      </c>
      <c r="J14" s="41">
        <v>4</v>
      </c>
      <c r="K14" s="27">
        <v>18</v>
      </c>
      <c r="L14" s="42">
        <v>38</v>
      </c>
    </row>
    <row r="15" spans="1:256" s="3" customFormat="1" ht="15.75" customHeight="1">
      <c r="A15" s="51">
        <v>5</v>
      </c>
      <c r="B15" s="41">
        <v>8</v>
      </c>
      <c r="C15" s="46" t="s">
        <v>61</v>
      </c>
      <c r="D15" s="41" t="s">
        <v>122</v>
      </c>
      <c r="E15" s="46" t="s">
        <v>62</v>
      </c>
      <c r="F15" s="49" t="s">
        <v>30</v>
      </c>
      <c r="G15" s="41" t="s">
        <v>39</v>
      </c>
      <c r="H15" s="41">
        <v>6</v>
      </c>
      <c r="I15" s="27">
        <v>15</v>
      </c>
      <c r="J15" s="41">
        <v>5</v>
      </c>
      <c r="K15" s="27">
        <v>16</v>
      </c>
      <c r="L15" s="42">
        <v>31</v>
      </c>
      <c r="M15" s="40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1"/>
      <c r="IS15" s="21"/>
      <c r="IT15" s="21"/>
      <c r="IU15" s="21"/>
      <c r="IV15" s="23"/>
    </row>
    <row r="16" spans="1:12" ht="15.75">
      <c r="A16" s="51">
        <v>6</v>
      </c>
      <c r="B16" s="52">
        <v>71</v>
      </c>
      <c r="C16" s="58" t="s">
        <v>142</v>
      </c>
      <c r="D16" s="52" t="s">
        <v>31</v>
      </c>
      <c r="E16" s="57" t="s">
        <v>66</v>
      </c>
      <c r="F16" s="49" t="s">
        <v>30</v>
      </c>
      <c r="G16" s="41" t="s">
        <v>39</v>
      </c>
      <c r="H16" s="41">
        <v>5</v>
      </c>
      <c r="I16" s="27">
        <v>16</v>
      </c>
      <c r="J16" s="41">
        <v>6</v>
      </c>
      <c r="K16" s="27">
        <v>15</v>
      </c>
      <c r="L16" s="42">
        <v>31</v>
      </c>
    </row>
    <row r="17" spans="1:12" ht="15.75">
      <c r="A17" s="51">
        <v>7</v>
      </c>
      <c r="B17" s="41">
        <v>29</v>
      </c>
      <c r="C17" s="46" t="s">
        <v>95</v>
      </c>
      <c r="D17" s="41" t="s">
        <v>31</v>
      </c>
      <c r="E17" s="46" t="s">
        <v>44</v>
      </c>
      <c r="F17" s="49" t="s">
        <v>30</v>
      </c>
      <c r="G17" s="48" t="s">
        <v>40</v>
      </c>
      <c r="H17" s="41">
        <v>7</v>
      </c>
      <c r="I17" s="27">
        <v>14</v>
      </c>
      <c r="J17" s="41" t="s">
        <v>59</v>
      </c>
      <c r="K17" s="27">
        <v>0</v>
      </c>
      <c r="L17" s="42">
        <v>14</v>
      </c>
    </row>
    <row r="18" ht="15.75">
      <c r="H18" s="33"/>
    </row>
    <row r="19" spans="2:8" ht="15.75">
      <c r="B19" s="33" t="s">
        <v>23</v>
      </c>
      <c r="C19" s="33"/>
      <c r="D19" s="33"/>
      <c r="E19" s="33"/>
      <c r="F19" s="33"/>
      <c r="G19" s="33"/>
      <c r="H19" s="33"/>
    </row>
    <row r="20" spans="2:8" ht="15.75">
      <c r="B20" s="33" t="s">
        <v>53</v>
      </c>
      <c r="D20" s="33" t="s">
        <v>84</v>
      </c>
      <c r="E20" s="33" t="s">
        <v>83</v>
      </c>
      <c r="F20" s="33" t="s">
        <v>82</v>
      </c>
      <c r="G20" s="33"/>
      <c r="H20" s="34"/>
    </row>
    <row r="21" spans="2:8" ht="15.75">
      <c r="B21" s="33" t="s">
        <v>43</v>
      </c>
      <c r="C21" s="33"/>
      <c r="D21" s="33"/>
      <c r="E21" s="33"/>
      <c r="F21" s="33"/>
      <c r="G21" s="33"/>
      <c r="H21" s="33"/>
    </row>
    <row r="22" spans="2:7" ht="15.75">
      <c r="B22" s="33" t="s">
        <v>85</v>
      </c>
      <c r="G22" s="33"/>
    </row>
  </sheetData>
  <sheetProtection formatCells="0" formatColumns="0" formatRows="0" insertColumns="0" insertRows="0" insertHyperlinks="0" deleteColumns="0" deleteRows="0" autoFilter="0" pivotTables="0"/>
  <mergeCells count="18">
    <mergeCell ref="A3:K3"/>
    <mergeCell ref="A4:K4"/>
    <mergeCell ref="A5:L5"/>
    <mergeCell ref="A6:L6"/>
    <mergeCell ref="A8:A10"/>
    <mergeCell ref="B8:B10"/>
    <mergeCell ref="G8:G10"/>
    <mergeCell ref="H8:I8"/>
    <mergeCell ref="J8:K8"/>
    <mergeCell ref="L8:L10"/>
    <mergeCell ref="C8:C10"/>
    <mergeCell ref="D8:D10"/>
    <mergeCell ref="J9:J10"/>
    <mergeCell ref="K9:K10"/>
    <mergeCell ref="E8:E10"/>
    <mergeCell ref="F8:F10"/>
    <mergeCell ref="H9:H10"/>
    <mergeCell ref="I9:I10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1:J17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1:H17">
      <formula1>1</formula1>
      <formula2>60</formula2>
    </dataValidation>
  </dataValidations>
  <printOptions horizontalCentered="1"/>
  <pageMargins left="0.11811023622047245" right="0.11811023622047245" top="0" bottom="0" header="0.11811023622047245" footer="0.15748031496062992"/>
  <pageSetup fitToHeight="2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2">
    <pageSetUpPr fitToPage="1"/>
  </sheetPr>
  <dimension ref="A1:IV21"/>
  <sheetViews>
    <sheetView zoomScalePageLayoutView="0" workbookViewId="0" topLeftCell="A1">
      <selection activeCell="E13" sqref="E13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3.421875" style="1" customWidth="1"/>
    <col min="4" max="4" width="7.7109375" style="1" customWidth="1"/>
    <col min="5" max="5" width="26.140625" style="1" customWidth="1"/>
    <col min="6" max="6" width="15.57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78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69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44.25" customHeight="1">
      <c r="A2" s="71" t="s">
        <v>126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29"/>
      <c r="M2" s="70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71" t="s">
        <v>27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30"/>
      <c r="M3" s="70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.75" customHeight="1">
      <c r="A4" s="72" t="s">
        <v>127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0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73" t="s">
        <v>49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1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60" t="s">
        <v>22</v>
      </c>
      <c r="B7" s="60" t="s">
        <v>0</v>
      </c>
      <c r="C7" s="60" t="s">
        <v>1</v>
      </c>
      <c r="D7" s="60" t="s">
        <v>28</v>
      </c>
      <c r="E7" s="60" t="s">
        <v>25</v>
      </c>
      <c r="F7" s="60" t="s">
        <v>26</v>
      </c>
      <c r="G7" s="60" t="s">
        <v>2</v>
      </c>
      <c r="H7" s="60" t="s">
        <v>3</v>
      </c>
      <c r="I7" s="62"/>
      <c r="J7" s="60" t="s">
        <v>4</v>
      </c>
      <c r="K7" s="62"/>
      <c r="L7" s="63" t="s">
        <v>29</v>
      </c>
      <c r="M7" s="64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61"/>
      <c r="B8" s="60"/>
      <c r="C8" s="60"/>
      <c r="D8" s="61"/>
      <c r="E8" s="61"/>
      <c r="F8" s="60"/>
      <c r="G8" s="61"/>
      <c r="H8" s="60" t="s">
        <v>11</v>
      </c>
      <c r="I8" s="67" t="s">
        <v>24</v>
      </c>
      <c r="J8" s="60" t="s">
        <v>11</v>
      </c>
      <c r="K8" s="67" t="s">
        <v>24</v>
      </c>
      <c r="L8" s="63"/>
      <c r="M8" s="65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61"/>
      <c r="B9" s="60"/>
      <c r="C9" s="60"/>
      <c r="D9" s="61"/>
      <c r="E9" s="61"/>
      <c r="F9" s="60"/>
      <c r="G9" s="61"/>
      <c r="H9" s="61"/>
      <c r="I9" s="68"/>
      <c r="J9" s="61"/>
      <c r="K9" s="68"/>
      <c r="L9" s="63"/>
      <c r="M9" s="66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51">
        <v>1</v>
      </c>
      <c r="B10" s="41">
        <v>1</v>
      </c>
      <c r="C10" s="46" t="s">
        <v>32</v>
      </c>
      <c r="D10" s="41" t="s">
        <v>33</v>
      </c>
      <c r="E10" s="46" t="s">
        <v>42</v>
      </c>
      <c r="F10" s="49" t="s">
        <v>30</v>
      </c>
      <c r="G10" s="48" t="s">
        <v>39</v>
      </c>
      <c r="H10" s="41">
        <v>2</v>
      </c>
      <c r="I10" s="27">
        <v>22</v>
      </c>
      <c r="J10" s="41">
        <v>1</v>
      </c>
      <c r="K10" s="27">
        <v>25</v>
      </c>
      <c r="L10" s="42">
        <v>47</v>
      </c>
      <c r="M10" s="20" t="e">
        <f>#REF!+#REF!</f>
        <v>#REF!</v>
      </c>
      <c r="N10" s="21"/>
      <c r="O10" s="22"/>
      <c r="P10" s="21">
        <f>IF(H10=1,25,0)</f>
        <v>0</v>
      </c>
      <c r="Q10" s="21">
        <f>IF(H10=2,22,0)</f>
        <v>22</v>
      </c>
      <c r="R10" s="21">
        <f>IF(H10=3,20,0)</f>
        <v>0</v>
      </c>
      <c r="S10" s="21">
        <f>IF(H10=4,18,0)</f>
        <v>0</v>
      </c>
      <c r="T10" s="21">
        <f>IF(H10=5,16,0)</f>
        <v>0</v>
      </c>
      <c r="U10" s="21">
        <f>IF(H10=6,15,0)</f>
        <v>0</v>
      </c>
      <c r="V10" s="21">
        <f>IF(H10=7,14,0)</f>
        <v>0</v>
      </c>
      <c r="W10" s="21">
        <f>IF(H10=8,13,0)</f>
        <v>0</v>
      </c>
      <c r="X10" s="21">
        <f>IF(H10=9,12,0)</f>
        <v>0</v>
      </c>
      <c r="Y10" s="21">
        <f>IF(H10=10,11,0)</f>
        <v>0</v>
      </c>
      <c r="Z10" s="21">
        <f>IF(H10=11,10,0)</f>
        <v>0</v>
      </c>
      <c r="AA10" s="21">
        <f>IF(H10=12,9,0)</f>
        <v>0</v>
      </c>
      <c r="AB10" s="21">
        <f>IF(H10=13,8,0)</f>
        <v>0</v>
      </c>
      <c r="AC10" s="21">
        <f>IF(H10=14,7,0)</f>
        <v>0</v>
      </c>
      <c r="AD10" s="21">
        <f>IF(H10=15,6,0)</f>
        <v>0</v>
      </c>
      <c r="AE10" s="21">
        <f>IF(H10=16,5,0)</f>
        <v>0</v>
      </c>
      <c r="AF10" s="21">
        <f>IF(H10=17,4,0)</f>
        <v>0</v>
      </c>
      <c r="AG10" s="21">
        <f>IF(H10=18,3,0)</f>
        <v>0</v>
      </c>
      <c r="AH10" s="21">
        <f>IF(H10=19,2,0)</f>
        <v>0</v>
      </c>
      <c r="AI10" s="21">
        <f>IF(H10=20,1,0)</f>
        <v>0</v>
      </c>
      <c r="AJ10" s="21">
        <f>IF(H10&gt;20,0,0)</f>
        <v>0</v>
      </c>
      <c r="AK10" s="21">
        <f>IF(H10="сх",0,0)</f>
        <v>0</v>
      </c>
      <c r="AL10" s="21">
        <f>SUM(P10:AJ10)</f>
        <v>22</v>
      </c>
      <c r="AM10" s="21">
        <f>IF(J10=1,25,0)</f>
        <v>25</v>
      </c>
      <c r="AN10" s="21">
        <f>IF(J10=2,22,0)</f>
        <v>0</v>
      </c>
      <c r="AO10" s="21">
        <f>IF(J10=3,20,0)</f>
        <v>0</v>
      </c>
      <c r="AP10" s="21">
        <f>IF(J10=4,18,0)</f>
        <v>0</v>
      </c>
      <c r="AQ10" s="21">
        <f>IF(J10=5,16,0)</f>
        <v>0</v>
      </c>
      <c r="AR10" s="21">
        <f>IF(J10=6,15,0)</f>
        <v>0</v>
      </c>
      <c r="AS10" s="21">
        <f>IF(J10=7,14,0)</f>
        <v>0</v>
      </c>
      <c r="AT10" s="21">
        <f>IF(J10=8,13,0)</f>
        <v>0</v>
      </c>
      <c r="AU10" s="21">
        <f>IF(J10=9,12,0)</f>
        <v>0</v>
      </c>
      <c r="AV10" s="21">
        <f>IF(J10=10,11,0)</f>
        <v>0</v>
      </c>
      <c r="AW10" s="21">
        <f>IF(J10=11,10,0)</f>
        <v>0</v>
      </c>
      <c r="AX10" s="21">
        <f>IF(J10=12,9,0)</f>
        <v>0</v>
      </c>
      <c r="AY10" s="21">
        <f>IF(J10=13,8,0)</f>
        <v>0</v>
      </c>
      <c r="AZ10" s="21">
        <f>IF(J10=14,7,0)</f>
        <v>0</v>
      </c>
      <c r="BA10" s="21">
        <f>IF(J10=15,6,0)</f>
        <v>0</v>
      </c>
      <c r="BB10" s="21">
        <f>IF(J10=16,5,0)</f>
        <v>0</v>
      </c>
      <c r="BC10" s="21">
        <f>IF(J10=17,4,0)</f>
        <v>0</v>
      </c>
      <c r="BD10" s="21">
        <f>IF(J10=18,3,0)</f>
        <v>0</v>
      </c>
      <c r="BE10" s="21">
        <f>IF(J10=19,2,0)</f>
        <v>0</v>
      </c>
      <c r="BF10" s="21">
        <f>IF(J10=20,1,0)</f>
        <v>0</v>
      </c>
      <c r="BG10" s="21">
        <f>IF(J10&gt;20,0,0)</f>
        <v>0</v>
      </c>
      <c r="BH10" s="21">
        <f>IF(J10="сх",0,0)</f>
        <v>0</v>
      </c>
      <c r="BI10" s="21">
        <f>SUM(AM10:BG10)</f>
        <v>25</v>
      </c>
      <c r="BJ10" s="21">
        <f>IF(H10=1,45,0)</f>
        <v>0</v>
      </c>
      <c r="BK10" s="21">
        <f>IF(H10=2,42,0)</f>
        <v>42</v>
      </c>
      <c r="BL10" s="21">
        <f>IF(H10=3,40,0)</f>
        <v>0</v>
      </c>
      <c r="BM10" s="21">
        <f>IF(H10=4,38,0)</f>
        <v>0</v>
      </c>
      <c r="BN10" s="21">
        <f>IF(H10=5,36,0)</f>
        <v>0</v>
      </c>
      <c r="BO10" s="21">
        <f>IF(H10=6,35,0)</f>
        <v>0</v>
      </c>
      <c r="BP10" s="21">
        <f>IF(H10=7,34,0)</f>
        <v>0</v>
      </c>
      <c r="BQ10" s="21">
        <f>IF(H10=8,33,0)</f>
        <v>0</v>
      </c>
      <c r="BR10" s="21">
        <f>IF(H10=9,32,0)</f>
        <v>0</v>
      </c>
      <c r="BS10" s="21">
        <f>IF(H10=10,31,0)</f>
        <v>0</v>
      </c>
      <c r="BT10" s="21">
        <f>IF(H10=11,30,0)</f>
        <v>0</v>
      </c>
      <c r="BU10" s="21">
        <f>IF(H10=12,29,0)</f>
        <v>0</v>
      </c>
      <c r="BV10" s="21">
        <f>IF(H10=13,28,0)</f>
        <v>0</v>
      </c>
      <c r="BW10" s="21">
        <f>IF(H10=14,27,0)</f>
        <v>0</v>
      </c>
      <c r="BX10" s="21">
        <f>IF(H10=15,26,0)</f>
        <v>0</v>
      </c>
      <c r="BY10" s="21">
        <f>IF(H10=16,25,0)</f>
        <v>0</v>
      </c>
      <c r="BZ10" s="21">
        <f>IF(H10=17,24,0)</f>
        <v>0</v>
      </c>
      <c r="CA10" s="21">
        <f>IF(H10=18,23,0)</f>
        <v>0</v>
      </c>
      <c r="CB10" s="21">
        <f>IF(H10=19,22,0)</f>
        <v>0</v>
      </c>
      <c r="CC10" s="21">
        <f>IF(H10=20,21,0)</f>
        <v>0</v>
      </c>
      <c r="CD10" s="21">
        <f>IF(H10=21,20,0)</f>
        <v>0</v>
      </c>
      <c r="CE10" s="21">
        <f>IF(H10=22,19,0)</f>
        <v>0</v>
      </c>
      <c r="CF10" s="21">
        <f>IF(H10=23,18,0)</f>
        <v>0</v>
      </c>
      <c r="CG10" s="21">
        <f>IF(H10=24,17,0)</f>
        <v>0</v>
      </c>
      <c r="CH10" s="21">
        <f>IF(H10=25,16,0)</f>
        <v>0</v>
      </c>
      <c r="CI10" s="21">
        <f>IF(H10=26,15,0)</f>
        <v>0</v>
      </c>
      <c r="CJ10" s="21">
        <f>IF(H10=27,14,0)</f>
        <v>0</v>
      </c>
      <c r="CK10" s="21">
        <f>IF(H10=28,13,0)</f>
        <v>0</v>
      </c>
      <c r="CL10" s="21">
        <f>IF(H10=29,12,0)</f>
        <v>0</v>
      </c>
      <c r="CM10" s="21">
        <f>IF(H10=30,11,0)</f>
        <v>0</v>
      </c>
      <c r="CN10" s="21">
        <f>IF(H10=31,10,0)</f>
        <v>0</v>
      </c>
      <c r="CO10" s="21">
        <f>IF(H10=32,9,0)</f>
        <v>0</v>
      </c>
      <c r="CP10" s="21">
        <f>IF(H10=33,8,0)</f>
        <v>0</v>
      </c>
      <c r="CQ10" s="21">
        <f>IF(H10=34,7,0)</f>
        <v>0</v>
      </c>
      <c r="CR10" s="21">
        <f>IF(H10=35,6,0)</f>
        <v>0</v>
      </c>
      <c r="CS10" s="21">
        <f>IF(H10=36,5,0)</f>
        <v>0</v>
      </c>
      <c r="CT10" s="21">
        <f>IF(H10=37,4,0)</f>
        <v>0</v>
      </c>
      <c r="CU10" s="21">
        <f>IF(H10=38,3,0)</f>
        <v>0</v>
      </c>
      <c r="CV10" s="21">
        <f>IF(H10=39,2,0)</f>
        <v>0</v>
      </c>
      <c r="CW10" s="21">
        <f>IF(H10=40,1,0)</f>
        <v>0</v>
      </c>
      <c r="CX10" s="21">
        <f>IF(H10&gt;40,0,0)</f>
        <v>0</v>
      </c>
      <c r="CY10" s="21">
        <f>IF(H10="сх",0,0)</f>
        <v>0</v>
      </c>
      <c r="CZ10" s="21">
        <f>SUM(BJ10:CY10)</f>
        <v>42</v>
      </c>
      <c r="DA10" s="21">
        <f>IF(J10=1,45,0)</f>
        <v>45</v>
      </c>
      <c r="DB10" s="21">
        <f>IF(J10=2,42,0)</f>
        <v>0</v>
      </c>
      <c r="DC10" s="21">
        <f>IF(J10=3,40,0)</f>
        <v>0</v>
      </c>
      <c r="DD10" s="21">
        <f>IF(J10=4,38,0)</f>
        <v>0</v>
      </c>
      <c r="DE10" s="21">
        <f>IF(J10=5,36,0)</f>
        <v>0</v>
      </c>
      <c r="DF10" s="21">
        <f>IF(J10=6,35,0)</f>
        <v>0</v>
      </c>
      <c r="DG10" s="21">
        <f>IF(J10=7,34,0)</f>
        <v>0</v>
      </c>
      <c r="DH10" s="21">
        <f>IF(J10=8,33,0)</f>
        <v>0</v>
      </c>
      <c r="DI10" s="21">
        <f>IF(J10=9,32,0)</f>
        <v>0</v>
      </c>
      <c r="DJ10" s="21">
        <f>IF(J10=10,31,0)</f>
        <v>0</v>
      </c>
      <c r="DK10" s="21">
        <f>IF(J10=11,30,0)</f>
        <v>0</v>
      </c>
      <c r="DL10" s="21">
        <f>IF(J10=12,29,0)</f>
        <v>0</v>
      </c>
      <c r="DM10" s="21">
        <f>IF(J10=13,28,0)</f>
        <v>0</v>
      </c>
      <c r="DN10" s="21">
        <f>IF(J10=14,27,0)</f>
        <v>0</v>
      </c>
      <c r="DO10" s="21">
        <f>IF(J10=15,26,0)</f>
        <v>0</v>
      </c>
      <c r="DP10" s="21">
        <f>IF(J10=16,25,0)</f>
        <v>0</v>
      </c>
      <c r="DQ10" s="21">
        <f>IF(J10=17,24,0)</f>
        <v>0</v>
      </c>
      <c r="DR10" s="21">
        <f>IF(J10=18,23,0)</f>
        <v>0</v>
      </c>
      <c r="DS10" s="21">
        <f>IF(J10=19,22,0)</f>
        <v>0</v>
      </c>
      <c r="DT10" s="21">
        <f>IF(J10=20,21,0)</f>
        <v>0</v>
      </c>
      <c r="DU10" s="21">
        <f>IF(J10=21,20,0)</f>
        <v>0</v>
      </c>
      <c r="DV10" s="21">
        <f>IF(J10=22,19,0)</f>
        <v>0</v>
      </c>
      <c r="DW10" s="21">
        <f>IF(J10=23,18,0)</f>
        <v>0</v>
      </c>
      <c r="DX10" s="21">
        <f>IF(J10=24,17,0)</f>
        <v>0</v>
      </c>
      <c r="DY10" s="21">
        <f>IF(J10=25,16,0)</f>
        <v>0</v>
      </c>
      <c r="DZ10" s="21">
        <f>IF(J10=26,15,0)</f>
        <v>0</v>
      </c>
      <c r="EA10" s="21">
        <f>IF(J10=27,14,0)</f>
        <v>0</v>
      </c>
      <c r="EB10" s="21">
        <f>IF(J10=28,13,0)</f>
        <v>0</v>
      </c>
      <c r="EC10" s="21">
        <f>IF(J10=29,12,0)</f>
        <v>0</v>
      </c>
      <c r="ED10" s="21">
        <f>IF(J10=30,11,0)</f>
        <v>0</v>
      </c>
      <c r="EE10" s="21">
        <f>IF(J10=31,10,0)</f>
        <v>0</v>
      </c>
      <c r="EF10" s="21">
        <f>IF(J10=32,9,0)</f>
        <v>0</v>
      </c>
      <c r="EG10" s="21">
        <f>IF(J10=33,8,0)</f>
        <v>0</v>
      </c>
      <c r="EH10" s="21">
        <f>IF(J10=34,7,0)</f>
        <v>0</v>
      </c>
      <c r="EI10" s="21">
        <f>IF(J10=35,6,0)</f>
        <v>0</v>
      </c>
      <c r="EJ10" s="21">
        <f>IF(J10=36,5,0)</f>
        <v>0</v>
      </c>
      <c r="EK10" s="21">
        <f>IF(J10=37,4,0)</f>
        <v>0</v>
      </c>
      <c r="EL10" s="21">
        <f>IF(J10=38,3,0)</f>
        <v>0</v>
      </c>
      <c r="EM10" s="21">
        <f>IF(J10=39,2,0)</f>
        <v>0</v>
      </c>
      <c r="EN10" s="21">
        <f>IF(J10=40,1,0)</f>
        <v>0</v>
      </c>
      <c r="EO10" s="21">
        <f>IF(J10&gt;20,0,0)</f>
        <v>0</v>
      </c>
      <c r="EP10" s="21">
        <f>IF(J10="сх",0,0)</f>
        <v>0</v>
      </c>
      <c r="EQ10" s="21">
        <f>SUM(DA10:EP10)</f>
        <v>45</v>
      </c>
      <c r="ER10" s="21"/>
      <c r="ES10" s="21">
        <f>IF(H10="сх","ноль",IF(H10&gt;0,H10,"Ноль"))</f>
        <v>2</v>
      </c>
      <c r="ET10" s="21">
        <f>IF(J10="сх","ноль",IF(J10&gt;0,J10,"Ноль"))</f>
        <v>1</v>
      </c>
      <c r="EU10" s="21"/>
      <c r="EV10" s="21">
        <f>MIN(ES10,ET10)</f>
        <v>1</v>
      </c>
      <c r="EW10" s="21" t="e">
        <f>IF(L10=#REF!,IF(J10&gt;#REF!,2,1),1)</f>
        <v>#REF!</v>
      </c>
      <c r="EX10" s="21"/>
      <c r="EY10" s="21" t="e">
        <f>IF(L10&lt;#REF!,"СТОП",EW10+EX10)</f>
        <v>#REF!</v>
      </c>
      <c r="EZ10" s="21"/>
      <c r="FA10" s="21">
        <v>1</v>
      </c>
      <c r="FB10" s="21">
        <v>2</v>
      </c>
      <c r="FC10" s="21"/>
      <c r="FD10" s="23">
        <f>IF(H10=1,25,0)</f>
        <v>0</v>
      </c>
      <c r="FE10" s="23">
        <f>IF(H10=2,22,0)</f>
        <v>22</v>
      </c>
      <c r="FF10" s="23">
        <f>IF(H10=3,20,0)</f>
        <v>0</v>
      </c>
      <c r="FG10" s="23">
        <f>IF(H10=4,18,0)</f>
        <v>0</v>
      </c>
      <c r="FH10" s="23">
        <f>IF(H10=5,16,0)</f>
        <v>0</v>
      </c>
      <c r="FI10" s="23">
        <f>IF(H10=6,15,0)</f>
        <v>0</v>
      </c>
      <c r="FJ10" s="23">
        <f>IF(H10=7,14,0)</f>
        <v>0</v>
      </c>
      <c r="FK10" s="23">
        <f>IF(H10=8,13,0)</f>
        <v>0</v>
      </c>
      <c r="FL10" s="23">
        <f>IF(H10=9,12,0)</f>
        <v>0</v>
      </c>
      <c r="FM10" s="23">
        <f>IF(H10=10,11,0)</f>
        <v>0</v>
      </c>
      <c r="FN10" s="23">
        <f>IF(H10=11,10,0)</f>
        <v>0</v>
      </c>
      <c r="FO10" s="23">
        <f>IF(H10=12,9,0)</f>
        <v>0</v>
      </c>
      <c r="FP10" s="23">
        <f>IF(H10=13,8,0)</f>
        <v>0</v>
      </c>
      <c r="FQ10" s="23">
        <f>IF(H10=14,7,0)</f>
        <v>0</v>
      </c>
      <c r="FR10" s="23">
        <f>IF(H10=15,6,0)</f>
        <v>0</v>
      </c>
      <c r="FS10" s="23">
        <f>IF(H10=16,5,0)</f>
        <v>0</v>
      </c>
      <c r="FT10" s="23">
        <f>IF(H10=17,4,0)</f>
        <v>0</v>
      </c>
      <c r="FU10" s="23">
        <f>IF(H10=18,3,0)</f>
        <v>0</v>
      </c>
      <c r="FV10" s="23">
        <f>IF(H10=19,2,0)</f>
        <v>0</v>
      </c>
      <c r="FW10" s="23">
        <f>IF(H10=20,1,0)</f>
        <v>0</v>
      </c>
      <c r="FX10" s="23">
        <f>IF(H10&gt;20,0,0)</f>
        <v>0</v>
      </c>
      <c r="FY10" s="23">
        <f>IF(H10="сх",0,0)</f>
        <v>0</v>
      </c>
      <c r="FZ10" s="23">
        <f>SUM(FD10:FY10)</f>
        <v>22</v>
      </c>
      <c r="GA10" s="23">
        <f>IF(J10=1,25,0)</f>
        <v>25</v>
      </c>
      <c r="GB10" s="23">
        <f>IF(J10=2,22,0)</f>
        <v>0</v>
      </c>
      <c r="GC10" s="23">
        <f>IF(J10=3,20,0)</f>
        <v>0</v>
      </c>
      <c r="GD10" s="23">
        <f>IF(J10=4,18,0)</f>
        <v>0</v>
      </c>
      <c r="GE10" s="23">
        <f>IF(J10=5,16,0)</f>
        <v>0</v>
      </c>
      <c r="GF10" s="23">
        <f>IF(J10=6,15,0)</f>
        <v>0</v>
      </c>
      <c r="GG10" s="23">
        <f>IF(J10=7,14,0)</f>
        <v>0</v>
      </c>
      <c r="GH10" s="23">
        <f>IF(J10=8,13,0)</f>
        <v>0</v>
      </c>
      <c r="GI10" s="23">
        <f>IF(J10=9,12,0)</f>
        <v>0</v>
      </c>
      <c r="GJ10" s="23">
        <f>IF(J10=10,11,0)</f>
        <v>0</v>
      </c>
      <c r="GK10" s="23">
        <f>IF(J10=11,10,0)</f>
        <v>0</v>
      </c>
      <c r="GL10" s="23">
        <f>IF(J10=12,9,0)</f>
        <v>0</v>
      </c>
      <c r="GM10" s="23">
        <f>IF(J10=13,8,0)</f>
        <v>0</v>
      </c>
      <c r="GN10" s="23">
        <f>IF(J10=14,7,0)</f>
        <v>0</v>
      </c>
      <c r="GO10" s="23">
        <f>IF(J10=15,6,0)</f>
        <v>0</v>
      </c>
      <c r="GP10" s="23">
        <f>IF(J10=16,5,0)</f>
        <v>0</v>
      </c>
      <c r="GQ10" s="23">
        <f>IF(J10=17,4,0)</f>
        <v>0</v>
      </c>
      <c r="GR10" s="23">
        <f>IF(J10=18,3,0)</f>
        <v>0</v>
      </c>
      <c r="GS10" s="23">
        <f>IF(J10=19,2,0)</f>
        <v>0</v>
      </c>
      <c r="GT10" s="23">
        <f>IF(J10=20,1,0)</f>
        <v>0</v>
      </c>
      <c r="GU10" s="23">
        <f>IF(J10&gt;20,0,0)</f>
        <v>0</v>
      </c>
      <c r="GV10" s="23">
        <f>IF(J10="сх",0,0)</f>
        <v>0</v>
      </c>
      <c r="GW10" s="23">
        <f>SUM(GA10:GV10)</f>
        <v>25</v>
      </c>
      <c r="GX10" s="23">
        <f>IF(H10=1,100,0)</f>
        <v>0</v>
      </c>
      <c r="GY10" s="23">
        <f>IF(H10=2,98,0)</f>
        <v>98</v>
      </c>
      <c r="GZ10" s="23">
        <f>IF(H10=3,95,0)</f>
        <v>0</v>
      </c>
      <c r="HA10" s="23">
        <f>IF(H10=4,93,0)</f>
        <v>0</v>
      </c>
      <c r="HB10" s="23">
        <f>IF(H10=5,90,0)</f>
        <v>0</v>
      </c>
      <c r="HC10" s="23">
        <f>IF(H10=6,88,0)</f>
        <v>0</v>
      </c>
      <c r="HD10" s="23">
        <f>IF(H10=7,85,0)</f>
        <v>0</v>
      </c>
      <c r="HE10" s="23">
        <f>IF(H10=8,83,0)</f>
        <v>0</v>
      </c>
      <c r="HF10" s="23">
        <f>IF(H10=9,80,0)</f>
        <v>0</v>
      </c>
      <c r="HG10" s="23">
        <f>IF(H10=10,78,0)</f>
        <v>0</v>
      </c>
      <c r="HH10" s="23">
        <f>IF(H10=11,75,0)</f>
        <v>0</v>
      </c>
      <c r="HI10" s="23">
        <f>IF(H10=12,73,0)</f>
        <v>0</v>
      </c>
      <c r="HJ10" s="23">
        <f>IF(H10=13,70,0)</f>
        <v>0</v>
      </c>
      <c r="HK10" s="23">
        <f>IF(H10=14,68,0)</f>
        <v>0</v>
      </c>
      <c r="HL10" s="23">
        <f>IF(H10=15,65,0)</f>
        <v>0</v>
      </c>
      <c r="HM10" s="23">
        <f>IF(H10=16,63,0)</f>
        <v>0</v>
      </c>
      <c r="HN10" s="23">
        <f>IF(H10=17,60,0)</f>
        <v>0</v>
      </c>
      <c r="HO10" s="23">
        <f>IF(H10=18,58,0)</f>
        <v>0</v>
      </c>
      <c r="HP10" s="23">
        <f>IF(H10=19,55,0)</f>
        <v>0</v>
      </c>
      <c r="HQ10" s="23">
        <f>IF(H10=20,53,0)</f>
        <v>0</v>
      </c>
      <c r="HR10" s="23">
        <f>IF(H10&gt;20,0,0)</f>
        <v>0</v>
      </c>
      <c r="HS10" s="23">
        <f>IF(H10="сх",0,0)</f>
        <v>0</v>
      </c>
      <c r="HT10" s="23">
        <f>SUM(GX10:HS10)</f>
        <v>98</v>
      </c>
      <c r="HU10" s="23">
        <f>IF(J10=1,100,0)</f>
        <v>100</v>
      </c>
      <c r="HV10" s="23">
        <f>IF(J10=2,98,0)</f>
        <v>0</v>
      </c>
      <c r="HW10" s="23">
        <f>IF(J10=3,95,0)</f>
        <v>0</v>
      </c>
      <c r="HX10" s="23">
        <f>IF(J10=4,93,0)</f>
        <v>0</v>
      </c>
      <c r="HY10" s="23">
        <f>IF(J10=5,90,0)</f>
        <v>0</v>
      </c>
      <c r="HZ10" s="23">
        <f>IF(J10=6,88,0)</f>
        <v>0</v>
      </c>
      <c r="IA10" s="23">
        <f>IF(J10=7,85,0)</f>
        <v>0</v>
      </c>
      <c r="IB10" s="23">
        <f>IF(J10=8,83,0)</f>
        <v>0</v>
      </c>
      <c r="IC10" s="23">
        <f>IF(J10=9,80,0)</f>
        <v>0</v>
      </c>
      <c r="ID10" s="23">
        <f>IF(J10=10,78,0)</f>
        <v>0</v>
      </c>
      <c r="IE10" s="23">
        <f>IF(J10=11,75,0)</f>
        <v>0</v>
      </c>
      <c r="IF10" s="23">
        <f>IF(J10=12,73,0)</f>
        <v>0</v>
      </c>
      <c r="IG10" s="23">
        <f>IF(J10=13,70,0)</f>
        <v>0</v>
      </c>
      <c r="IH10" s="23">
        <f>IF(J10=14,68,0)</f>
        <v>0</v>
      </c>
      <c r="II10" s="23">
        <f>IF(J10=15,65,0)</f>
        <v>0</v>
      </c>
      <c r="IJ10" s="23">
        <f>IF(J10=16,63,0)</f>
        <v>0</v>
      </c>
      <c r="IK10" s="23">
        <f>IF(J10=17,60,0)</f>
        <v>0</v>
      </c>
      <c r="IL10" s="23">
        <f>IF(J10=18,58,0)</f>
        <v>0</v>
      </c>
      <c r="IM10" s="23">
        <f>IF(J10=19,55,0)</f>
        <v>0</v>
      </c>
      <c r="IN10" s="23">
        <f>IF(J10=20,53,0)</f>
        <v>0</v>
      </c>
      <c r="IO10" s="23">
        <f>IF(J10&gt;20,0,0)</f>
        <v>0</v>
      </c>
      <c r="IP10" s="23">
        <f>IF(J10="сх",0,0)</f>
        <v>0</v>
      </c>
      <c r="IQ10" s="23">
        <f>SUM(HU10:IP10)</f>
        <v>100</v>
      </c>
      <c r="IR10" s="23"/>
      <c r="IS10" s="23" t="e">
        <f>IF(#REF!=#REF!,IF(#REF!&gt;#REF!,2,1),1)</f>
        <v>#REF!</v>
      </c>
      <c r="IT10" s="23"/>
      <c r="IU10" s="23" t="e">
        <f>IS10+IT10</f>
        <v>#REF!</v>
      </c>
      <c r="IV10" s="23"/>
    </row>
    <row r="11" spans="1:256" s="3" customFormat="1" ht="15.75" customHeight="1">
      <c r="A11" s="51">
        <v>2</v>
      </c>
      <c r="B11" s="41">
        <v>2</v>
      </c>
      <c r="C11" s="46" t="s">
        <v>46</v>
      </c>
      <c r="D11" s="41" t="s">
        <v>124</v>
      </c>
      <c r="E11" s="46" t="s">
        <v>92</v>
      </c>
      <c r="F11" s="49" t="s">
        <v>30</v>
      </c>
      <c r="G11" s="41" t="s">
        <v>39</v>
      </c>
      <c r="H11" s="41">
        <v>1</v>
      </c>
      <c r="I11" s="27">
        <v>25</v>
      </c>
      <c r="J11" s="41">
        <v>2</v>
      </c>
      <c r="K11" s="27">
        <v>22</v>
      </c>
      <c r="L11" s="42">
        <v>47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51">
        <v>3</v>
      </c>
      <c r="B12" s="41">
        <v>77</v>
      </c>
      <c r="C12" s="46" t="s">
        <v>73</v>
      </c>
      <c r="D12" s="41" t="s">
        <v>124</v>
      </c>
      <c r="E12" s="46" t="s">
        <v>36</v>
      </c>
      <c r="F12" s="49" t="s">
        <v>30</v>
      </c>
      <c r="G12" s="48" t="s">
        <v>37</v>
      </c>
      <c r="H12" s="38">
        <v>3</v>
      </c>
      <c r="I12" s="39">
        <v>20</v>
      </c>
      <c r="J12" s="38">
        <v>3</v>
      </c>
      <c r="K12" s="39">
        <v>20</v>
      </c>
      <c r="L12" s="42">
        <v>40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51">
        <v>4</v>
      </c>
      <c r="B13" s="41">
        <v>55</v>
      </c>
      <c r="C13" s="46" t="s">
        <v>144</v>
      </c>
      <c r="D13" s="41">
        <v>1</v>
      </c>
      <c r="E13" s="46" t="s">
        <v>96</v>
      </c>
      <c r="F13" s="49" t="s">
        <v>30</v>
      </c>
      <c r="G13" s="48" t="s">
        <v>41</v>
      </c>
      <c r="H13" s="41">
        <v>4</v>
      </c>
      <c r="I13" s="27">
        <v>18</v>
      </c>
      <c r="J13" s="41">
        <v>4</v>
      </c>
      <c r="K13" s="27">
        <v>18</v>
      </c>
      <c r="L13" s="42">
        <v>36</v>
      </c>
      <c r="M13" s="4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5.75" customHeight="1">
      <c r="A14" s="51">
        <v>5</v>
      </c>
      <c r="B14" s="41">
        <v>41</v>
      </c>
      <c r="C14" s="46" t="s">
        <v>143</v>
      </c>
      <c r="D14" s="41">
        <v>1</v>
      </c>
      <c r="E14" s="46" t="s">
        <v>35</v>
      </c>
      <c r="F14" s="49" t="s">
        <v>30</v>
      </c>
      <c r="G14" s="48" t="s">
        <v>41</v>
      </c>
      <c r="H14" s="41">
        <v>5</v>
      </c>
      <c r="I14" s="27">
        <v>16</v>
      </c>
      <c r="J14" s="41">
        <v>5</v>
      </c>
      <c r="K14" s="27">
        <v>16</v>
      </c>
      <c r="L14" s="42">
        <v>32</v>
      </c>
      <c r="M14" s="20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1"/>
      <c r="IS14" s="21"/>
      <c r="IT14" s="21"/>
      <c r="IU14" s="21"/>
      <c r="IV14" s="23"/>
    </row>
    <row r="15" spans="1:12" ht="15.75" customHeight="1">
      <c r="A15" s="51">
        <v>6</v>
      </c>
      <c r="B15" s="41">
        <v>7</v>
      </c>
      <c r="C15" s="46" t="s">
        <v>81</v>
      </c>
      <c r="D15" s="41" t="s">
        <v>31</v>
      </c>
      <c r="E15" s="46" t="s">
        <v>34</v>
      </c>
      <c r="F15" s="49" t="s">
        <v>30</v>
      </c>
      <c r="G15" s="48" t="s">
        <v>41</v>
      </c>
      <c r="H15" s="41">
        <v>6</v>
      </c>
      <c r="I15" s="27">
        <v>15</v>
      </c>
      <c r="J15" s="41">
        <v>6</v>
      </c>
      <c r="K15" s="27">
        <v>15</v>
      </c>
      <c r="L15" s="42">
        <v>30</v>
      </c>
    </row>
    <row r="16" spans="1:256" ht="15.75" customHeight="1">
      <c r="A16" s="51">
        <v>7</v>
      </c>
      <c r="B16" s="41">
        <v>85</v>
      </c>
      <c r="C16" s="46" t="s">
        <v>67</v>
      </c>
      <c r="D16" s="41" t="s">
        <v>31</v>
      </c>
      <c r="E16" s="46" t="s">
        <v>91</v>
      </c>
      <c r="F16" s="49" t="s">
        <v>30</v>
      </c>
      <c r="G16" s="48" t="s">
        <v>41</v>
      </c>
      <c r="H16" s="41">
        <v>7</v>
      </c>
      <c r="I16" s="27">
        <v>14</v>
      </c>
      <c r="J16" s="41">
        <v>7</v>
      </c>
      <c r="K16" s="27">
        <v>14</v>
      </c>
      <c r="L16" s="42">
        <v>28</v>
      </c>
      <c r="M16" s="37"/>
      <c r="N16" s="5"/>
      <c r="O16" s="1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7"/>
      <c r="ES16" s="7"/>
      <c r="ET16" s="7"/>
      <c r="EU16" s="7"/>
      <c r="EV16" s="7"/>
      <c r="EW16" s="6"/>
      <c r="EX16" s="6"/>
      <c r="EY16" s="19"/>
      <c r="EZ16" s="6"/>
      <c r="FA16" s="6"/>
      <c r="FB16" s="6"/>
      <c r="FC16" s="6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3"/>
      <c r="IS16" s="12"/>
      <c r="IT16" s="12"/>
      <c r="IU16" s="12"/>
      <c r="IV16" s="12"/>
    </row>
    <row r="17" spans="1:4" ht="15.75">
      <c r="A17" s="33" t="s">
        <v>23</v>
      </c>
      <c r="B17" s="33"/>
      <c r="C17" s="33"/>
      <c r="D17" s="33"/>
    </row>
    <row r="18" spans="1:13" ht="15.75">
      <c r="A18" s="33" t="s">
        <v>88</v>
      </c>
      <c r="B18" s="33"/>
      <c r="C18" s="33"/>
      <c r="D18" s="33"/>
      <c r="E18" s="33"/>
      <c r="F18" s="33"/>
      <c r="J18" s="33"/>
      <c r="K18" s="33"/>
      <c r="L18" s="33"/>
      <c r="M18" s="32"/>
    </row>
    <row r="19" spans="1:6" ht="15.75">
      <c r="A19" s="33" t="s">
        <v>43</v>
      </c>
      <c r="B19" s="33"/>
      <c r="C19" s="33"/>
      <c r="D19" s="33"/>
      <c r="E19" s="33"/>
      <c r="F19" s="33"/>
    </row>
    <row r="20" spans="1:6" ht="15.75">
      <c r="A20" s="33" t="s">
        <v>53</v>
      </c>
      <c r="B20" s="33"/>
      <c r="C20" s="33"/>
      <c r="D20" s="33"/>
      <c r="E20" s="33"/>
      <c r="F20" s="33"/>
    </row>
    <row r="21" ht="15.75">
      <c r="E21" s="32"/>
    </row>
  </sheetData>
  <sheetProtection formatCells="0" formatColumns="0" formatRows="0" insertColumns="0" insertRows="0" insertHyperlinks="0" deleteColumns="0" deleteRows="0" autoFilter="0" pivotTables="0"/>
  <mergeCells count="20">
    <mergeCell ref="M7:M9"/>
    <mergeCell ref="J8:J9"/>
    <mergeCell ref="G7:G9"/>
    <mergeCell ref="D7:D9"/>
    <mergeCell ref="C7:C9"/>
    <mergeCell ref="E7:E9"/>
    <mergeCell ref="F7:F9"/>
    <mergeCell ref="L7:L9"/>
    <mergeCell ref="H7:I7"/>
    <mergeCell ref="K8:K9"/>
    <mergeCell ref="A7:A9"/>
    <mergeCell ref="B7:B9"/>
    <mergeCell ref="H8:H9"/>
    <mergeCell ref="I8:I9"/>
    <mergeCell ref="M1:M4"/>
    <mergeCell ref="A2:K2"/>
    <mergeCell ref="A3:K3"/>
    <mergeCell ref="A4:L4"/>
    <mergeCell ref="A5:L5"/>
    <mergeCell ref="J7:K7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0:J15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15">
      <formula1>1</formula1>
      <formula2>60</formula2>
    </dataValidation>
  </dataValidations>
  <printOptions horizontalCentered="1"/>
  <pageMargins left="0.11811023622047245" right="0.11811023622047245" top="0.1968503937007874" bottom="0.1968503937007874" header="0.11811023622047245" footer="0.11811023622047245"/>
  <pageSetup fitToHeight="2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27.7109375" style="0" customWidth="1"/>
    <col min="4" max="4" width="8.00390625" style="0" customWidth="1"/>
    <col min="5" max="5" width="20.28125" style="0" customWidth="1"/>
    <col min="6" max="6" width="9.7109375" style="0" customWidth="1"/>
    <col min="7" max="7" width="9.421875" style="0" customWidth="1"/>
    <col min="8" max="8" width="5.7109375" style="0" customWidth="1"/>
    <col min="9" max="9" width="5.57421875" style="0" customWidth="1"/>
    <col min="10" max="10" width="6.00390625" style="0" customWidth="1"/>
    <col min="11" max="11" width="6.140625" style="0" customWidth="1"/>
  </cols>
  <sheetData>
    <row r="1" spans="1:12" ht="83.2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37.5" customHeight="1">
      <c r="A2" s="71" t="s">
        <v>126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29"/>
    </row>
    <row r="3" spans="1:12" ht="15" customHeight="1">
      <c r="A3" s="71" t="s">
        <v>27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30"/>
    </row>
    <row r="4" spans="1:12" ht="15.75" customHeight="1">
      <c r="A4" s="72" t="s">
        <v>127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8" customHeight="1">
      <c r="A5" s="73" t="s">
        <v>98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ht="3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1"/>
    </row>
    <row r="7" spans="1:12" ht="12.75">
      <c r="A7" s="60" t="s">
        <v>22</v>
      </c>
      <c r="B7" s="60" t="s">
        <v>0</v>
      </c>
      <c r="C7" s="60" t="s">
        <v>1</v>
      </c>
      <c r="D7" s="60" t="s">
        <v>28</v>
      </c>
      <c r="E7" s="60" t="s">
        <v>25</v>
      </c>
      <c r="F7" s="60" t="s">
        <v>26</v>
      </c>
      <c r="G7" s="60" t="s">
        <v>2</v>
      </c>
      <c r="H7" s="60" t="s">
        <v>3</v>
      </c>
      <c r="I7" s="62"/>
      <c r="J7" s="60" t="s">
        <v>4</v>
      </c>
      <c r="K7" s="62"/>
      <c r="L7" s="63" t="s">
        <v>29</v>
      </c>
    </row>
    <row r="8" spans="1:12" ht="12.75">
      <c r="A8" s="61"/>
      <c r="B8" s="60"/>
      <c r="C8" s="60"/>
      <c r="D8" s="61"/>
      <c r="E8" s="61"/>
      <c r="F8" s="60"/>
      <c r="G8" s="61"/>
      <c r="H8" s="60" t="s">
        <v>11</v>
      </c>
      <c r="I8" s="67" t="s">
        <v>24</v>
      </c>
      <c r="J8" s="60" t="s">
        <v>11</v>
      </c>
      <c r="K8" s="67" t="s">
        <v>24</v>
      </c>
      <c r="L8" s="63"/>
    </row>
    <row r="9" spans="1:12" ht="27.75" customHeight="1">
      <c r="A9" s="61"/>
      <c r="B9" s="60"/>
      <c r="C9" s="60"/>
      <c r="D9" s="61"/>
      <c r="E9" s="61"/>
      <c r="F9" s="60"/>
      <c r="G9" s="61"/>
      <c r="H9" s="61"/>
      <c r="I9" s="68"/>
      <c r="J9" s="61"/>
      <c r="K9" s="68"/>
      <c r="L9" s="63"/>
    </row>
    <row r="10" spans="1:12" ht="15.75" customHeight="1">
      <c r="A10" s="51">
        <v>1</v>
      </c>
      <c r="B10" s="41">
        <v>42</v>
      </c>
      <c r="C10" s="46" t="s">
        <v>74</v>
      </c>
      <c r="D10" s="41" t="s">
        <v>33</v>
      </c>
      <c r="E10" s="46" t="s">
        <v>35</v>
      </c>
      <c r="F10" s="50" t="s">
        <v>30</v>
      </c>
      <c r="G10" s="41" t="s">
        <v>37</v>
      </c>
      <c r="H10" s="41">
        <v>2</v>
      </c>
      <c r="I10" s="27">
        <v>22</v>
      </c>
      <c r="J10" s="41">
        <v>1</v>
      </c>
      <c r="K10" s="27">
        <v>25</v>
      </c>
      <c r="L10" s="42">
        <v>47</v>
      </c>
    </row>
    <row r="11" spans="1:12" ht="15.75" customHeight="1">
      <c r="A11" s="51">
        <v>2</v>
      </c>
      <c r="B11" s="41">
        <v>55</v>
      </c>
      <c r="C11" s="46" t="s">
        <v>52</v>
      </c>
      <c r="D11" s="41" t="s">
        <v>31</v>
      </c>
      <c r="E11" s="46" t="s">
        <v>34</v>
      </c>
      <c r="F11" s="50" t="s">
        <v>30</v>
      </c>
      <c r="G11" s="48" t="s">
        <v>40</v>
      </c>
      <c r="H11" s="41">
        <v>4</v>
      </c>
      <c r="I11" s="27">
        <v>18</v>
      </c>
      <c r="J11" s="41">
        <v>2</v>
      </c>
      <c r="K11" s="27">
        <v>22</v>
      </c>
      <c r="L11" s="42">
        <v>40</v>
      </c>
    </row>
    <row r="12" spans="1:12" ht="15.75" customHeight="1">
      <c r="A12" s="51">
        <v>3</v>
      </c>
      <c r="B12" s="41">
        <v>57</v>
      </c>
      <c r="C12" s="46" t="s">
        <v>50</v>
      </c>
      <c r="D12" s="41" t="s">
        <v>31</v>
      </c>
      <c r="E12" s="46" t="s">
        <v>35</v>
      </c>
      <c r="F12" s="50" t="s">
        <v>30</v>
      </c>
      <c r="G12" s="48" t="s">
        <v>41</v>
      </c>
      <c r="H12" s="41">
        <v>3</v>
      </c>
      <c r="I12" s="27">
        <v>20</v>
      </c>
      <c r="J12" s="41">
        <v>3</v>
      </c>
      <c r="K12" s="27">
        <v>20</v>
      </c>
      <c r="L12" s="42">
        <v>40</v>
      </c>
    </row>
    <row r="13" spans="1:12" ht="15.75" customHeight="1">
      <c r="A13" s="51">
        <v>4</v>
      </c>
      <c r="B13" s="54">
        <v>77</v>
      </c>
      <c r="C13" s="56" t="s">
        <v>56</v>
      </c>
      <c r="D13" s="54" t="s">
        <v>31</v>
      </c>
      <c r="E13" s="55" t="s">
        <v>35</v>
      </c>
      <c r="F13" s="50" t="s">
        <v>30</v>
      </c>
      <c r="G13" s="48" t="s">
        <v>40</v>
      </c>
      <c r="H13" s="41">
        <v>1</v>
      </c>
      <c r="I13" s="27">
        <v>25</v>
      </c>
      <c r="J13" s="41">
        <v>9</v>
      </c>
      <c r="K13" s="27">
        <v>12</v>
      </c>
      <c r="L13" s="42">
        <v>37</v>
      </c>
    </row>
    <row r="14" spans="1:12" ht="15.75" customHeight="1">
      <c r="A14" s="51">
        <v>5</v>
      </c>
      <c r="B14" s="41">
        <v>46</v>
      </c>
      <c r="C14" s="46" t="s">
        <v>75</v>
      </c>
      <c r="D14" s="41" t="s">
        <v>31</v>
      </c>
      <c r="E14" s="46" t="s">
        <v>34</v>
      </c>
      <c r="F14" s="50" t="s">
        <v>30</v>
      </c>
      <c r="G14" s="41" t="s">
        <v>37</v>
      </c>
      <c r="H14" s="41">
        <v>5</v>
      </c>
      <c r="I14" s="27">
        <v>16</v>
      </c>
      <c r="J14" s="41">
        <v>4</v>
      </c>
      <c r="K14" s="27">
        <v>18</v>
      </c>
      <c r="L14" s="42">
        <v>34</v>
      </c>
    </row>
    <row r="15" spans="1:12" ht="15.75" customHeight="1">
      <c r="A15" s="51">
        <v>6</v>
      </c>
      <c r="B15" s="41">
        <v>8</v>
      </c>
      <c r="C15" s="46" t="s">
        <v>60</v>
      </c>
      <c r="D15" s="41" t="s">
        <v>31</v>
      </c>
      <c r="E15" s="46" t="s">
        <v>62</v>
      </c>
      <c r="F15" s="50" t="s">
        <v>30</v>
      </c>
      <c r="G15" s="48" t="s">
        <v>38</v>
      </c>
      <c r="H15" s="41">
        <v>7</v>
      </c>
      <c r="I15" s="27">
        <v>14</v>
      </c>
      <c r="J15" s="41">
        <v>5</v>
      </c>
      <c r="K15" s="27">
        <v>16</v>
      </c>
      <c r="L15" s="42">
        <v>30</v>
      </c>
    </row>
    <row r="16" spans="1:12" ht="15.75" customHeight="1">
      <c r="A16" s="51">
        <v>7</v>
      </c>
      <c r="B16" s="41">
        <v>49</v>
      </c>
      <c r="C16" s="46" t="s">
        <v>147</v>
      </c>
      <c r="D16" s="41" t="s">
        <v>31</v>
      </c>
      <c r="E16" s="46" t="s">
        <v>92</v>
      </c>
      <c r="F16" s="50" t="s">
        <v>30</v>
      </c>
      <c r="G16" s="48" t="s">
        <v>41</v>
      </c>
      <c r="H16" s="41">
        <v>6</v>
      </c>
      <c r="I16" s="27">
        <v>15</v>
      </c>
      <c r="J16" s="41">
        <v>6</v>
      </c>
      <c r="K16" s="27">
        <v>15</v>
      </c>
      <c r="L16" s="42">
        <v>30</v>
      </c>
    </row>
    <row r="17" spans="1:12" ht="15.75" customHeight="1">
      <c r="A17" s="51">
        <v>8</v>
      </c>
      <c r="B17" s="41">
        <v>61</v>
      </c>
      <c r="C17" s="47" t="s">
        <v>145</v>
      </c>
      <c r="D17" s="41" t="s">
        <v>31</v>
      </c>
      <c r="E17" s="46" t="s">
        <v>36</v>
      </c>
      <c r="F17" s="50" t="s">
        <v>30</v>
      </c>
      <c r="G17" s="48" t="s">
        <v>38</v>
      </c>
      <c r="H17" s="41">
        <v>8</v>
      </c>
      <c r="I17" s="27">
        <v>13</v>
      </c>
      <c r="J17" s="41">
        <v>7</v>
      </c>
      <c r="K17" s="27">
        <v>14</v>
      </c>
      <c r="L17" s="42">
        <v>27</v>
      </c>
    </row>
    <row r="18" spans="1:12" ht="15.75" customHeight="1">
      <c r="A18" s="51">
        <v>9</v>
      </c>
      <c r="B18" s="41">
        <v>58</v>
      </c>
      <c r="C18" s="46" t="s">
        <v>146</v>
      </c>
      <c r="D18" s="41" t="s">
        <v>31</v>
      </c>
      <c r="E18" s="46" t="s">
        <v>35</v>
      </c>
      <c r="F18" s="50" t="s">
        <v>30</v>
      </c>
      <c r="G18" s="48" t="s">
        <v>39</v>
      </c>
      <c r="H18" s="41">
        <v>9</v>
      </c>
      <c r="I18" s="27">
        <v>12</v>
      </c>
      <c r="J18" s="41">
        <v>8</v>
      </c>
      <c r="K18" s="27">
        <v>13</v>
      </c>
      <c r="L18" s="42">
        <v>25</v>
      </c>
    </row>
    <row r="19" spans="2:13" ht="15.75">
      <c r="B19" s="33" t="s">
        <v>23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2"/>
    </row>
    <row r="20" spans="2:13" ht="15.75">
      <c r="B20" s="33" t="s">
        <v>87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2:13" ht="15.75">
      <c r="B21" s="33" t="s">
        <v>43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2"/>
    </row>
    <row r="22" spans="2:13" ht="15.75">
      <c r="B22" s="59" t="s">
        <v>53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</row>
  </sheetData>
  <sheetProtection/>
  <mergeCells count="19">
    <mergeCell ref="B22:M22"/>
    <mergeCell ref="G7:G9"/>
    <mergeCell ref="H7:I7"/>
    <mergeCell ref="J7:K7"/>
    <mergeCell ref="L7:L9"/>
    <mergeCell ref="H8:H9"/>
    <mergeCell ref="I8:I9"/>
    <mergeCell ref="J8:J9"/>
    <mergeCell ref="K8:K9"/>
    <mergeCell ref="A2:K2"/>
    <mergeCell ref="A3:K3"/>
    <mergeCell ref="A4:L4"/>
    <mergeCell ref="A5:L5"/>
    <mergeCell ref="A7:A9"/>
    <mergeCell ref="B7:B9"/>
    <mergeCell ref="C7:C9"/>
    <mergeCell ref="D7:D9"/>
    <mergeCell ref="E7:E9"/>
    <mergeCell ref="F7:F9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18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J10:J18">
      <formula1>1</formula1>
      <formula2>60</formula2>
    </dataValidation>
  </dataValidations>
  <printOptions/>
  <pageMargins left="0.71" right="0.7086614173228347" top="0.17" bottom="0.16" header="0.17" footer="0.16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29.28125" style="0" customWidth="1"/>
    <col min="4" max="4" width="8.00390625" style="0" customWidth="1"/>
    <col min="5" max="5" width="22.7109375" style="0" customWidth="1"/>
    <col min="6" max="6" width="9.7109375" style="0" customWidth="1"/>
    <col min="7" max="10" width="5.7109375" style="0" customWidth="1"/>
  </cols>
  <sheetData>
    <row r="1" spans="1:11" ht="87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27.75" customHeight="1">
      <c r="A2" s="71" t="s">
        <v>126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29"/>
    </row>
    <row r="3" spans="1:12" ht="12.75" customHeight="1">
      <c r="A3" s="71" t="s">
        <v>27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30"/>
    </row>
    <row r="4" spans="1:12" ht="18" customHeight="1">
      <c r="A4" s="72" t="s">
        <v>127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1" ht="12.75">
      <c r="A5" s="84" t="s">
        <v>57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ht="7.5" customHeight="1" thickBot="1"/>
    <row r="7" spans="1:11" ht="13.5" thickBot="1">
      <c r="A7" s="81" t="s">
        <v>22</v>
      </c>
      <c r="B7" s="81" t="s">
        <v>0</v>
      </c>
      <c r="C7" s="81" t="s">
        <v>1</v>
      </c>
      <c r="D7" s="81" t="s">
        <v>28</v>
      </c>
      <c r="E7" s="81" t="s">
        <v>25</v>
      </c>
      <c r="F7" s="81" t="s">
        <v>2</v>
      </c>
      <c r="G7" s="85" t="s">
        <v>3</v>
      </c>
      <c r="H7" s="86"/>
      <c r="I7" s="85" t="s">
        <v>4</v>
      </c>
      <c r="J7" s="86"/>
      <c r="K7" s="76" t="s">
        <v>29</v>
      </c>
    </row>
    <row r="8" spans="1:11" ht="12.75">
      <c r="A8" s="89"/>
      <c r="B8" s="82"/>
      <c r="C8" s="82"/>
      <c r="D8" s="82"/>
      <c r="E8" s="82"/>
      <c r="F8" s="82"/>
      <c r="G8" s="74" t="s">
        <v>11</v>
      </c>
      <c r="H8" s="79" t="s">
        <v>24</v>
      </c>
      <c r="I8" s="74" t="s">
        <v>11</v>
      </c>
      <c r="J8" s="79" t="s">
        <v>24</v>
      </c>
      <c r="K8" s="77"/>
    </row>
    <row r="9" spans="1:11" ht="21.75" customHeight="1" thickBot="1">
      <c r="A9" s="90"/>
      <c r="B9" s="83"/>
      <c r="C9" s="83"/>
      <c r="D9" s="83"/>
      <c r="E9" s="83"/>
      <c r="F9" s="83"/>
      <c r="G9" s="75"/>
      <c r="H9" s="80"/>
      <c r="I9" s="88"/>
      <c r="J9" s="87"/>
      <c r="K9" s="78"/>
    </row>
    <row r="10" spans="1:11" ht="15.75">
      <c r="A10" s="43">
        <v>1</v>
      </c>
      <c r="B10" s="41">
        <v>70</v>
      </c>
      <c r="C10" s="46" t="s">
        <v>76</v>
      </c>
      <c r="D10" s="41" t="s">
        <v>31</v>
      </c>
      <c r="E10" s="46" t="s">
        <v>66</v>
      </c>
      <c r="F10" s="48" t="s">
        <v>38</v>
      </c>
      <c r="G10" s="41">
        <v>1</v>
      </c>
      <c r="H10" s="27">
        <v>25</v>
      </c>
      <c r="I10" s="35">
        <v>1</v>
      </c>
      <c r="J10" s="36">
        <v>25</v>
      </c>
      <c r="K10" s="28">
        <v>50</v>
      </c>
    </row>
    <row r="11" spans="1:11" ht="15.75">
      <c r="A11" s="43">
        <v>2</v>
      </c>
      <c r="B11" s="91">
        <v>850</v>
      </c>
      <c r="C11" s="92" t="s">
        <v>115</v>
      </c>
      <c r="D11" s="91" t="s">
        <v>31</v>
      </c>
      <c r="E11" s="92" t="s">
        <v>93</v>
      </c>
      <c r="F11" s="48" t="s">
        <v>41</v>
      </c>
      <c r="G11" s="41">
        <v>3</v>
      </c>
      <c r="H11" s="27">
        <v>20</v>
      </c>
      <c r="I11" s="35">
        <v>2</v>
      </c>
      <c r="J11" s="36">
        <v>22</v>
      </c>
      <c r="K11" s="28">
        <v>42</v>
      </c>
    </row>
    <row r="12" spans="1:11" ht="15.75">
      <c r="A12" s="43">
        <v>3</v>
      </c>
      <c r="B12" s="41">
        <v>3</v>
      </c>
      <c r="C12" s="46" t="s">
        <v>77</v>
      </c>
      <c r="D12" s="41" t="s">
        <v>31</v>
      </c>
      <c r="E12" s="46" t="s">
        <v>66</v>
      </c>
      <c r="F12" s="48" t="s">
        <v>38</v>
      </c>
      <c r="G12" s="41">
        <v>5</v>
      </c>
      <c r="H12" s="27">
        <v>16</v>
      </c>
      <c r="I12" s="35">
        <v>3</v>
      </c>
      <c r="J12" s="36">
        <v>20</v>
      </c>
      <c r="K12" s="28">
        <v>36</v>
      </c>
    </row>
    <row r="13" spans="1:11" ht="15.75">
      <c r="A13" s="43">
        <v>4</v>
      </c>
      <c r="B13" s="41">
        <v>23</v>
      </c>
      <c r="C13" s="46" t="s">
        <v>119</v>
      </c>
      <c r="D13" s="41" t="s">
        <v>31</v>
      </c>
      <c r="E13" s="46" t="s">
        <v>35</v>
      </c>
      <c r="F13" s="48" t="s">
        <v>41</v>
      </c>
      <c r="G13" s="41">
        <v>4</v>
      </c>
      <c r="H13" s="27">
        <v>18</v>
      </c>
      <c r="I13" s="35">
        <v>5</v>
      </c>
      <c r="J13" s="36">
        <v>16</v>
      </c>
      <c r="K13" s="28">
        <v>34</v>
      </c>
    </row>
    <row r="14" spans="1:11" ht="15.75">
      <c r="A14" s="43">
        <v>5</v>
      </c>
      <c r="B14" s="41">
        <v>72</v>
      </c>
      <c r="C14" s="46" t="s">
        <v>116</v>
      </c>
      <c r="D14" s="41" t="s">
        <v>31</v>
      </c>
      <c r="E14" s="46" t="s">
        <v>35</v>
      </c>
      <c r="F14" s="48" t="s">
        <v>38</v>
      </c>
      <c r="G14" s="41">
        <v>6</v>
      </c>
      <c r="H14" s="27">
        <v>15</v>
      </c>
      <c r="I14" s="35">
        <v>4</v>
      </c>
      <c r="J14" s="36">
        <v>18</v>
      </c>
      <c r="K14" s="28">
        <v>33</v>
      </c>
    </row>
    <row r="15" spans="1:11" ht="15.75">
      <c r="A15" s="43">
        <v>6</v>
      </c>
      <c r="B15" s="41">
        <v>34</v>
      </c>
      <c r="C15" s="46" t="s">
        <v>150</v>
      </c>
      <c r="D15" s="41" t="s">
        <v>31</v>
      </c>
      <c r="E15" s="46" t="s">
        <v>151</v>
      </c>
      <c r="F15" s="48" t="s">
        <v>41</v>
      </c>
      <c r="G15" s="41">
        <v>7</v>
      </c>
      <c r="H15" s="27">
        <v>14</v>
      </c>
      <c r="I15" s="35">
        <v>6</v>
      </c>
      <c r="J15" s="36">
        <v>15</v>
      </c>
      <c r="K15" s="28">
        <v>29</v>
      </c>
    </row>
    <row r="16" spans="1:11" ht="15.75">
      <c r="A16" s="43">
        <v>7</v>
      </c>
      <c r="B16" s="41">
        <v>46</v>
      </c>
      <c r="C16" s="46" t="s">
        <v>149</v>
      </c>
      <c r="D16" s="41" t="s">
        <v>31</v>
      </c>
      <c r="E16" s="46" t="s">
        <v>132</v>
      </c>
      <c r="F16" s="48" t="s">
        <v>39</v>
      </c>
      <c r="G16" s="52">
        <v>8</v>
      </c>
      <c r="H16" s="27">
        <v>13</v>
      </c>
      <c r="I16" s="53">
        <v>7</v>
      </c>
      <c r="J16" s="36">
        <v>14</v>
      </c>
      <c r="K16" s="28">
        <v>27</v>
      </c>
    </row>
    <row r="17" spans="1:11" ht="15.75" customHeight="1">
      <c r="A17" s="43">
        <v>8</v>
      </c>
      <c r="B17" s="41">
        <v>7</v>
      </c>
      <c r="C17" s="46" t="s">
        <v>153</v>
      </c>
      <c r="D17" s="41" t="s">
        <v>31</v>
      </c>
      <c r="E17" s="46" t="s">
        <v>96</v>
      </c>
      <c r="F17" s="48" t="s">
        <v>38</v>
      </c>
      <c r="G17" s="41">
        <v>10</v>
      </c>
      <c r="H17" s="27">
        <v>11</v>
      </c>
      <c r="I17" s="35">
        <v>8</v>
      </c>
      <c r="J17" s="36">
        <v>13</v>
      </c>
      <c r="K17" s="28">
        <v>24</v>
      </c>
    </row>
    <row r="18" spans="1:11" ht="15.75">
      <c r="A18" s="43">
        <v>9</v>
      </c>
      <c r="B18" s="41">
        <v>28</v>
      </c>
      <c r="C18" s="46" t="s">
        <v>63</v>
      </c>
      <c r="D18" s="41" t="s">
        <v>31</v>
      </c>
      <c r="E18" s="46" t="s">
        <v>34</v>
      </c>
      <c r="F18" s="48" t="s">
        <v>38</v>
      </c>
      <c r="G18" s="41">
        <v>9</v>
      </c>
      <c r="H18" s="27">
        <v>12</v>
      </c>
      <c r="I18" s="53">
        <v>10</v>
      </c>
      <c r="J18" s="36">
        <v>11</v>
      </c>
      <c r="K18" s="28">
        <v>23</v>
      </c>
    </row>
    <row r="19" spans="1:11" ht="15.75">
      <c r="A19" s="43">
        <v>10</v>
      </c>
      <c r="B19" s="41">
        <v>89</v>
      </c>
      <c r="C19" s="46" t="s">
        <v>72</v>
      </c>
      <c r="D19" s="41">
        <v>1</v>
      </c>
      <c r="E19" s="46" t="s">
        <v>35</v>
      </c>
      <c r="F19" s="48" t="s">
        <v>38</v>
      </c>
      <c r="G19" s="41">
        <v>2</v>
      </c>
      <c r="H19" s="27">
        <v>22</v>
      </c>
      <c r="I19" s="35" t="s">
        <v>58</v>
      </c>
      <c r="J19" s="36">
        <v>0</v>
      </c>
      <c r="K19" s="28">
        <v>22</v>
      </c>
    </row>
    <row r="20" spans="1:11" ht="15.75">
      <c r="A20" s="43">
        <v>11</v>
      </c>
      <c r="B20" s="41">
        <v>60</v>
      </c>
      <c r="C20" s="46" t="s">
        <v>51</v>
      </c>
      <c r="D20" s="41" t="s">
        <v>31</v>
      </c>
      <c r="E20" s="46" t="s">
        <v>35</v>
      </c>
      <c r="F20" s="48" t="s">
        <v>41</v>
      </c>
      <c r="G20" s="41">
        <v>11</v>
      </c>
      <c r="H20" s="27">
        <v>10</v>
      </c>
      <c r="I20" s="35">
        <v>9</v>
      </c>
      <c r="J20" s="36">
        <v>12</v>
      </c>
      <c r="K20" s="28">
        <v>22</v>
      </c>
    </row>
    <row r="21" spans="1:11" ht="15.75">
      <c r="A21" s="43">
        <v>12</v>
      </c>
      <c r="B21" s="41">
        <v>5</v>
      </c>
      <c r="C21" s="46" t="s">
        <v>154</v>
      </c>
      <c r="D21" s="41" t="s">
        <v>31</v>
      </c>
      <c r="E21" s="46" t="s">
        <v>62</v>
      </c>
      <c r="F21" s="48" t="s">
        <v>39</v>
      </c>
      <c r="G21" s="41">
        <v>13</v>
      </c>
      <c r="H21" s="27">
        <v>8</v>
      </c>
      <c r="I21" s="35">
        <v>11</v>
      </c>
      <c r="J21" s="36">
        <v>10</v>
      </c>
      <c r="K21" s="28">
        <v>18</v>
      </c>
    </row>
    <row r="22" spans="1:11" ht="15.75">
      <c r="A22" s="43">
        <v>13</v>
      </c>
      <c r="B22" s="41">
        <v>40</v>
      </c>
      <c r="C22" s="46" t="s">
        <v>118</v>
      </c>
      <c r="D22" s="41" t="s">
        <v>31</v>
      </c>
      <c r="E22" s="46" t="s">
        <v>35</v>
      </c>
      <c r="F22" s="48" t="s">
        <v>41</v>
      </c>
      <c r="G22" s="41">
        <v>12</v>
      </c>
      <c r="H22" s="27">
        <v>9</v>
      </c>
      <c r="I22" s="35">
        <v>12</v>
      </c>
      <c r="J22" s="36">
        <v>9</v>
      </c>
      <c r="K22" s="28">
        <v>18</v>
      </c>
    </row>
    <row r="23" spans="1:11" ht="15.75">
      <c r="A23" s="43">
        <v>14</v>
      </c>
      <c r="B23" s="41">
        <v>13</v>
      </c>
      <c r="C23" s="46" t="s">
        <v>152</v>
      </c>
      <c r="D23" s="41" t="s">
        <v>31</v>
      </c>
      <c r="E23" s="46" t="s">
        <v>35</v>
      </c>
      <c r="F23" s="48" t="s">
        <v>38</v>
      </c>
      <c r="G23" s="41">
        <v>15</v>
      </c>
      <c r="H23" s="27">
        <v>6</v>
      </c>
      <c r="I23" s="35">
        <v>14</v>
      </c>
      <c r="J23" s="36">
        <v>7</v>
      </c>
      <c r="K23" s="28">
        <v>13</v>
      </c>
    </row>
    <row r="24" spans="1:11" ht="15.75">
      <c r="A24" s="43">
        <v>15</v>
      </c>
      <c r="B24" s="41">
        <v>30</v>
      </c>
      <c r="C24" s="46" t="s">
        <v>120</v>
      </c>
      <c r="D24" s="41" t="s">
        <v>31</v>
      </c>
      <c r="E24" s="46" t="s">
        <v>93</v>
      </c>
      <c r="F24" s="48" t="s">
        <v>41</v>
      </c>
      <c r="G24" s="41">
        <v>14</v>
      </c>
      <c r="H24" s="27">
        <v>7</v>
      </c>
      <c r="I24" s="35">
        <v>15</v>
      </c>
      <c r="J24" s="36">
        <v>6</v>
      </c>
      <c r="K24" s="28">
        <v>13</v>
      </c>
    </row>
    <row r="25" spans="1:11" ht="15.75">
      <c r="A25" s="51">
        <v>16</v>
      </c>
      <c r="B25" s="41">
        <v>101</v>
      </c>
      <c r="C25" s="46" t="s">
        <v>117</v>
      </c>
      <c r="D25" s="41" t="s">
        <v>31</v>
      </c>
      <c r="E25" s="46" t="s">
        <v>62</v>
      </c>
      <c r="F25" s="48" t="s">
        <v>38</v>
      </c>
      <c r="G25" s="41">
        <v>17</v>
      </c>
      <c r="H25" s="27">
        <v>4</v>
      </c>
      <c r="I25" s="35">
        <v>13</v>
      </c>
      <c r="J25" s="36">
        <v>8</v>
      </c>
      <c r="K25" s="28">
        <v>12</v>
      </c>
    </row>
    <row r="26" spans="1:11" ht="15.75">
      <c r="A26" s="43">
        <v>17</v>
      </c>
      <c r="B26" s="41">
        <v>17</v>
      </c>
      <c r="C26" s="46" t="s">
        <v>148</v>
      </c>
      <c r="D26" s="41" t="s">
        <v>31</v>
      </c>
      <c r="E26" s="46" t="s">
        <v>35</v>
      </c>
      <c r="F26" s="48" t="s">
        <v>39</v>
      </c>
      <c r="G26" s="41">
        <v>16</v>
      </c>
      <c r="H26" s="27">
        <v>5</v>
      </c>
      <c r="I26" s="53">
        <v>16</v>
      </c>
      <c r="J26" s="36">
        <v>5</v>
      </c>
      <c r="K26" s="28">
        <v>10</v>
      </c>
    </row>
    <row r="27" spans="1:11" ht="15.75">
      <c r="A27" s="59" t="s">
        <v>23</v>
      </c>
      <c r="B27" s="59"/>
      <c r="C27" s="59"/>
      <c r="D27" s="59"/>
      <c r="E27" s="59"/>
      <c r="F27" s="59"/>
      <c r="G27" s="59"/>
      <c r="H27" s="59"/>
      <c r="I27" s="59"/>
      <c r="J27" s="59"/>
      <c r="K27" s="32"/>
    </row>
    <row r="28" spans="1:11" ht="15.75">
      <c r="A28" s="59" t="s">
        <v>86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</row>
    <row r="29" spans="1:11" ht="15.75">
      <c r="A29" s="59" t="s">
        <v>43</v>
      </c>
      <c r="B29" s="59"/>
      <c r="C29" s="59"/>
      <c r="D29" s="59"/>
      <c r="E29" s="59"/>
      <c r="F29" s="59"/>
      <c r="G29" s="59"/>
      <c r="H29" s="59"/>
      <c r="I29" s="59"/>
      <c r="J29" s="59"/>
      <c r="K29" s="32"/>
    </row>
    <row r="30" spans="1:11" ht="15.75">
      <c r="A30" s="59" t="s">
        <v>53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</row>
  </sheetData>
  <sheetProtection/>
  <mergeCells count="21">
    <mergeCell ref="A30:K30"/>
    <mergeCell ref="A7:A9"/>
    <mergeCell ref="B7:B9"/>
    <mergeCell ref="C7:C9"/>
    <mergeCell ref="D7:D9"/>
    <mergeCell ref="A2:K2"/>
    <mergeCell ref="A3:K3"/>
    <mergeCell ref="A4:L4"/>
    <mergeCell ref="A5:K5"/>
    <mergeCell ref="G7:H7"/>
    <mergeCell ref="A29:J29"/>
    <mergeCell ref="J8:J9"/>
    <mergeCell ref="I8:I9"/>
    <mergeCell ref="E7:E9"/>
    <mergeCell ref="I7:J7"/>
    <mergeCell ref="G8:G9"/>
    <mergeCell ref="K7:K9"/>
    <mergeCell ref="A28:K28"/>
    <mergeCell ref="H8:H9"/>
    <mergeCell ref="A27:J27"/>
    <mergeCell ref="F7:F9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G10:G26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I10:I26">
      <formula1>1</formula1>
      <formula2>60</formula2>
    </dataValidation>
  </dataValidations>
  <printOptions/>
  <pageMargins left="0.7874015748031497" right="0.11811023622047244" top="0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FORMAT25</cp:lastModifiedBy>
  <cp:lastPrinted>2021-04-25T23:33:19Z</cp:lastPrinted>
  <dcterms:created xsi:type="dcterms:W3CDTF">1996-10-08T23:32:33Z</dcterms:created>
  <dcterms:modified xsi:type="dcterms:W3CDTF">2022-04-24T22:54:20Z</dcterms:modified>
  <cp:category/>
  <cp:version/>
  <cp:contentType/>
  <cp:contentStatus/>
</cp:coreProperties>
</file>